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120" yWindow="-120" windowWidth="19420" windowHeight="11020" firstSheet="1" activeTab="1"/>
  </bookViews>
  <sheets>
    <sheet name="Lista de Precios 4-10" sheetId="8" state="hidden" r:id="rId1"/>
    <sheet name="Maestro de Productos" sheetId="1" r:id="rId2"/>
    <sheet name="Categorías" sheetId="2" r:id="rId3"/>
    <sheet name="Filtros de vinos" sheetId="3" r:id="rId4"/>
    <sheet name="Filtros de Whiskies" sheetId="4" r:id="rId5"/>
    <sheet name="Filtros de Spirits" sheetId="5" r:id="rId6"/>
    <sheet name="Filtros de Combos" sheetId="6" r:id="rId7"/>
    <sheet name="Filtros de Regalos &amp; Estuches" sheetId="7" r:id="rId8"/>
  </sheets>
  <externalReferences>
    <externalReference r:id="rId9"/>
  </externalReferences>
  <definedNames>
    <definedName name="_xlnm._FilterDatabase" localSheetId="0" hidden="1">'Lista de Precios 4-10'!$A$1:$H$450</definedName>
    <definedName name="_xlnm._FilterDatabase" localSheetId="1" hidden="1">'Maestro de Productos'!$A$1:$J$496</definedName>
  </definedNames>
  <calcPr calcId="144525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1" i="1" l="1" a="1"/>
  <c r="F131" i="1" s="1"/>
  <c r="F136" i="1" a="1"/>
  <c r="F136" i="1" s="1"/>
  <c r="F140" i="1" a="1"/>
  <c r="F140" i="1" s="1"/>
  <c r="F195" i="1" a="1"/>
  <c r="F195" i="1" s="1"/>
  <c r="F275" i="1" a="1"/>
  <c r="F275" i="1" s="1"/>
  <c r="F320" i="1" a="1"/>
  <c r="F320" i="1" s="1"/>
  <c r="F128" i="1" a="1"/>
  <c r="F128" i="1" s="1"/>
  <c r="F259" i="1" a="1"/>
  <c r="F259" i="1" s="1"/>
  <c r="F383" i="1" a="1"/>
  <c r="F383" i="1" s="1"/>
  <c r="F274" i="1" a="1"/>
  <c r="F274" i="1" s="1"/>
  <c r="F257" i="1" a="1"/>
  <c r="F257" i="1" s="1"/>
  <c r="F226" i="1" a="1"/>
  <c r="F226" i="1" s="1"/>
  <c r="F225" i="1" a="1"/>
  <c r="F225" i="1" s="1"/>
  <c r="F221" i="1" a="1"/>
  <c r="F221" i="1" s="1"/>
  <c r="F199" i="1" a="1"/>
  <c r="F199" i="1" s="1"/>
  <c r="F198" i="1" a="1"/>
  <c r="F198" i="1" s="1"/>
  <c r="F197" i="1" a="1"/>
  <c r="F197" i="1" s="1"/>
  <c r="F201" i="1" a="1"/>
  <c r="F201" i="1" s="1"/>
  <c r="F130" i="1" a="1"/>
  <c r="F130" i="1" s="1"/>
  <c r="F129" i="1" a="1"/>
  <c r="F129" i="1" s="1"/>
  <c r="F127" i="1" a="1"/>
  <c r="F127" i="1" s="1"/>
  <c r="F138" i="1" a="1"/>
  <c r="F138" i="1" s="1"/>
  <c r="F137" i="1" a="1"/>
  <c r="F137" i="1" s="1"/>
  <c r="F134" i="1" a="1"/>
  <c r="F134" i="1" s="1"/>
  <c r="F133" i="1" a="1"/>
  <c r="F133" i="1" s="1"/>
  <c r="F142" i="1" a="1"/>
  <c r="F142" i="1" s="1"/>
  <c r="F141" i="1" a="1"/>
  <c r="F141" i="1" s="1"/>
  <c r="F139" i="1" a="1"/>
  <c r="F139" i="1" s="1"/>
  <c r="F143" i="1" a="1"/>
  <c r="F143" i="1" s="1"/>
  <c r="F145" i="1" a="1"/>
  <c r="F145" i="1" s="1"/>
  <c r="F146" i="1" a="1"/>
  <c r="F146" i="1" s="1"/>
  <c r="F98" i="1" a="1"/>
  <c r="F98" i="1" s="1"/>
  <c r="H450" i="8"/>
  <c r="E450" i="8"/>
  <c r="H449" i="8"/>
  <c r="E449" i="8"/>
  <c r="H448" i="8"/>
  <c r="E448" i="8"/>
  <c r="J448" i="8" s="1"/>
  <c r="H447" i="8"/>
  <c r="E447" i="8"/>
  <c r="J447" i="8" s="1"/>
  <c r="D447" i="8"/>
  <c r="H446" i="8"/>
  <c r="E446" i="8"/>
  <c r="H445" i="8"/>
  <c r="E445" i="8"/>
  <c r="G445" i="8" s="1"/>
  <c r="D445" i="8"/>
  <c r="H444" i="8"/>
  <c r="E444" i="8"/>
  <c r="D444" i="8"/>
  <c r="H443" i="8"/>
  <c r="E443" i="8"/>
  <c r="J443" i="8" s="1"/>
  <c r="H442" i="8"/>
  <c r="E442" i="8"/>
  <c r="D442" i="8"/>
  <c r="H441" i="8"/>
  <c r="E441" i="8"/>
  <c r="D441" i="8"/>
  <c r="H440" i="8"/>
  <c r="E440" i="8"/>
  <c r="J440" i="8" s="1"/>
  <c r="D440" i="8"/>
  <c r="H439" i="8"/>
  <c r="E439" i="8"/>
  <c r="J439" i="8" s="1"/>
  <c r="D439" i="8"/>
  <c r="H438" i="8"/>
  <c r="E438" i="8"/>
  <c r="D438" i="8"/>
  <c r="H437" i="8"/>
  <c r="E437" i="8"/>
  <c r="H436" i="8"/>
  <c r="E436" i="8"/>
  <c r="J436" i="8" s="1"/>
  <c r="D436" i="8"/>
  <c r="F436" i="8" s="1"/>
  <c r="H435" i="8"/>
  <c r="E435" i="8"/>
  <c r="J435" i="8" s="1"/>
  <c r="D435" i="8"/>
  <c r="H434" i="8"/>
  <c r="E434" i="8"/>
  <c r="H433" i="8"/>
  <c r="E433" i="8"/>
  <c r="D433" i="8"/>
  <c r="H432" i="8"/>
  <c r="E432" i="8"/>
  <c r="J432" i="8" s="1"/>
  <c r="D432" i="8"/>
  <c r="J431" i="8"/>
  <c r="H431" i="8"/>
  <c r="D431" i="8"/>
  <c r="F431" i="8" s="1"/>
  <c r="J430" i="8"/>
  <c r="K430" i="8" s="1"/>
  <c r="H430" i="8"/>
  <c r="G430" i="8"/>
  <c r="F430" i="8"/>
  <c r="J429" i="8"/>
  <c r="K429" i="8" s="1"/>
  <c r="H429" i="8"/>
  <c r="G429" i="8"/>
  <c r="F429" i="8"/>
  <c r="H428" i="8"/>
  <c r="E428" i="8"/>
  <c r="G428" i="8" s="1"/>
  <c r="D428" i="8"/>
  <c r="H427" i="8"/>
  <c r="E427" i="8"/>
  <c r="D427" i="8"/>
  <c r="H426" i="8"/>
  <c r="E426" i="8"/>
  <c r="J426" i="8" s="1"/>
  <c r="D426" i="8"/>
  <c r="H425" i="8"/>
  <c r="E425" i="8"/>
  <c r="D425" i="8"/>
  <c r="H424" i="8"/>
  <c r="F424" i="8"/>
  <c r="E424" i="8"/>
  <c r="D424" i="8"/>
  <c r="H423" i="8"/>
  <c r="E423" i="8"/>
  <c r="J423" i="8" s="1"/>
  <c r="D423" i="8"/>
  <c r="H422" i="8"/>
  <c r="E422" i="8"/>
  <c r="J422" i="8" s="1"/>
  <c r="D422" i="8"/>
  <c r="H421" i="8"/>
  <c r="E421" i="8"/>
  <c r="D421" i="8"/>
  <c r="H420" i="8"/>
  <c r="E420" i="8"/>
  <c r="G420" i="8" s="1"/>
  <c r="D420" i="8"/>
  <c r="H419" i="8"/>
  <c r="E419" i="8"/>
  <c r="J419" i="8" s="1"/>
  <c r="D419" i="8"/>
  <c r="H418" i="8"/>
  <c r="E418" i="8"/>
  <c r="J418" i="8" s="1"/>
  <c r="D418" i="8"/>
  <c r="J417" i="8"/>
  <c r="K417" i="8" s="1"/>
  <c r="H417" i="8"/>
  <c r="G417" i="8"/>
  <c r="F417" i="8"/>
  <c r="J416" i="8"/>
  <c r="K416" i="8" s="1"/>
  <c r="H416" i="8"/>
  <c r="G416" i="8"/>
  <c r="F416" i="8"/>
  <c r="J415" i="8"/>
  <c r="K415" i="8" s="1"/>
  <c r="H415" i="8"/>
  <c r="G415" i="8"/>
  <c r="F415" i="8"/>
  <c r="J414" i="8"/>
  <c r="K414" i="8" s="1"/>
  <c r="H414" i="8"/>
  <c r="G414" i="8"/>
  <c r="F414" i="8"/>
  <c r="J413" i="8"/>
  <c r="K413" i="8" s="1"/>
  <c r="H413" i="8"/>
  <c r="G413" i="8"/>
  <c r="F413" i="8"/>
  <c r="J412" i="8"/>
  <c r="K412" i="8" s="1"/>
  <c r="H412" i="8"/>
  <c r="G412" i="8"/>
  <c r="F412" i="8"/>
  <c r="J411" i="8"/>
  <c r="K411" i="8" s="1"/>
  <c r="H411" i="8"/>
  <c r="G411" i="8"/>
  <c r="F411" i="8"/>
  <c r="J410" i="8"/>
  <c r="K410" i="8" s="1"/>
  <c r="H410" i="8"/>
  <c r="G410" i="8"/>
  <c r="F410" i="8"/>
  <c r="J409" i="8"/>
  <c r="K409" i="8" s="1"/>
  <c r="H409" i="8"/>
  <c r="G409" i="8"/>
  <c r="F409" i="8"/>
  <c r="J408" i="8"/>
  <c r="K408" i="8" s="1"/>
  <c r="H408" i="8"/>
  <c r="G408" i="8"/>
  <c r="F408" i="8"/>
  <c r="J407" i="8"/>
  <c r="K407" i="8" s="1"/>
  <c r="H407" i="8"/>
  <c r="G407" i="8"/>
  <c r="F407" i="8"/>
  <c r="J406" i="8"/>
  <c r="K406" i="8" s="1"/>
  <c r="H406" i="8"/>
  <c r="G406" i="8"/>
  <c r="F406" i="8"/>
  <c r="J405" i="8"/>
  <c r="K405" i="8" s="1"/>
  <c r="H405" i="8"/>
  <c r="G405" i="8"/>
  <c r="F405" i="8"/>
  <c r="J404" i="8"/>
  <c r="K404" i="8" s="1"/>
  <c r="H404" i="8"/>
  <c r="G404" i="8"/>
  <c r="F404" i="8"/>
  <c r="J403" i="8"/>
  <c r="K403" i="8" s="1"/>
  <c r="H403" i="8"/>
  <c r="G403" i="8"/>
  <c r="F403" i="8"/>
  <c r="J402" i="8"/>
  <c r="K402" i="8" s="1"/>
  <c r="H402" i="8"/>
  <c r="G402" i="8"/>
  <c r="F402" i="8"/>
  <c r="J401" i="8"/>
  <c r="K401" i="8" s="1"/>
  <c r="H401" i="8"/>
  <c r="G401" i="8"/>
  <c r="F401" i="8"/>
  <c r="J400" i="8"/>
  <c r="K400" i="8" s="1"/>
  <c r="H400" i="8"/>
  <c r="G400" i="8"/>
  <c r="F400" i="8"/>
  <c r="J399" i="8"/>
  <c r="K399" i="8" s="1"/>
  <c r="H399" i="8"/>
  <c r="G399" i="8"/>
  <c r="F399" i="8"/>
  <c r="J398" i="8"/>
  <c r="K398" i="8" s="1"/>
  <c r="H398" i="8"/>
  <c r="G398" i="8"/>
  <c r="F398" i="8"/>
  <c r="J397" i="8"/>
  <c r="K397" i="8" s="1"/>
  <c r="H397" i="8"/>
  <c r="G397" i="8"/>
  <c r="F397" i="8"/>
  <c r="J396" i="8"/>
  <c r="K396" i="8" s="1"/>
  <c r="H396" i="8"/>
  <c r="G396" i="8"/>
  <c r="F396" i="8"/>
  <c r="J395" i="8"/>
  <c r="K395" i="8" s="1"/>
  <c r="H395" i="8"/>
  <c r="G395" i="8"/>
  <c r="F395" i="8"/>
  <c r="J394" i="8"/>
  <c r="K394" i="8" s="1"/>
  <c r="H394" i="8"/>
  <c r="G394" i="8"/>
  <c r="F394" i="8"/>
  <c r="J393" i="8"/>
  <c r="K393" i="8" s="1"/>
  <c r="H393" i="8"/>
  <c r="G393" i="8"/>
  <c r="F393" i="8"/>
  <c r="J392" i="8"/>
  <c r="K392" i="8" s="1"/>
  <c r="H392" i="8"/>
  <c r="G392" i="8"/>
  <c r="F392" i="8"/>
  <c r="J391" i="8"/>
  <c r="K391" i="8" s="1"/>
  <c r="H391" i="8"/>
  <c r="G391" i="8"/>
  <c r="F391" i="8"/>
  <c r="J390" i="8"/>
  <c r="K390" i="8" s="1"/>
  <c r="H390" i="8"/>
  <c r="G390" i="8"/>
  <c r="F390" i="8"/>
  <c r="J389" i="8"/>
  <c r="K389" i="8" s="1"/>
  <c r="H389" i="8"/>
  <c r="G389" i="8"/>
  <c r="F389" i="8"/>
  <c r="J388" i="8"/>
  <c r="K388" i="8" s="1"/>
  <c r="H388" i="8"/>
  <c r="G388" i="8"/>
  <c r="F388" i="8"/>
  <c r="J387" i="8"/>
  <c r="K387" i="8" s="1"/>
  <c r="H387" i="8"/>
  <c r="G387" i="8"/>
  <c r="F387" i="8"/>
  <c r="J386" i="8"/>
  <c r="K386" i="8" s="1"/>
  <c r="H386" i="8"/>
  <c r="G386" i="8"/>
  <c r="F386" i="8"/>
  <c r="J385" i="8"/>
  <c r="K385" i="8" s="1"/>
  <c r="H385" i="8"/>
  <c r="G385" i="8"/>
  <c r="F385" i="8"/>
  <c r="J384" i="8"/>
  <c r="K384" i="8" s="1"/>
  <c r="H384" i="8"/>
  <c r="G384" i="8"/>
  <c r="F384" i="8"/>
  <c r="J383" i="8"/>
  <c r="K383" i="8" s="1"/>
  <c r="H383" i="8"/>
  <c r="G383" i="8"/>
  <c r="F383" i="8"/>
  <c r="J382" i="8"/>
  <c r="K382" i="8" s="1"/>
  <c r="H382" i="8"/>
  <c r="G382" i="8"/>
  <c r="F382" i="8"/>
  <c r="J381" i="8"/>
  <c r="K381" i="8" s="1"/>
  <c r="H381" i="8"/>
  <c r="G381" i="8"/>
  <c r="F381" i="8"/>
  <c r="J380" i="8"/>
  <c r="K380" i="8" s="1"/>
  <c r="H380" i="8"/>
  <c r="G380" i="8"/>
  <c r="F380" i="8"/>
  <c r="J379" i="8"/>
  <c r="H379" i="8"/>
  <c r="D379" i="8"/>
  <c r="J378" i="8"/>
  <c r="H378" i="8"/>
  <c r="D378" i="8"/>
  <c r="G378" i="8" s="1"/>
  <c r="J377" i="8"/>
  <c r="H377" i="8"/>
  <c r="D377" i="8"/>
  <c r="J376" i="8"/>
  <c r="H376" i="8"/>
  <c r="D376" i="8"/>
  <c r="G376" i="8" s="1"/>
  <c r="J375" i="8"/>
  <c r="K375" i="8" s="1"/>
  <c r="H375" i="8"/>
  <c r="G375" i="8"/>
  <c r="F375" i="8"/>
  <c r="J374" i="8"/>
  <c r="K374" i="8" s="1"/>
  <c r="H374" i="8"/>
  <c r="G374" i="8"/>
  <c r="F374" i="8"/>
  <c r="J373" i="8"/>
  <c r="H373" i="8"/>
  <c r="D373" i="8"/>
  <c r="G373" i="8" s="1"/>
  <c r="J372" i="8"/>
  <c r="K372" i="8" s="1"/>
  <c r="H372" i="8"/>
  <c r="G372" i="8"/>
  <c r="F372" i="8"/>
  <c r="J371" i="8"/>
  <c r="H371" i="8"/>
  <c r="D371" i="8"/>
  <c r="F371" i="8" s="1"/>
  <c r="J370" i="8"/>
  <c r="K370" i="8" s="1"/>
  <c r="H370" i="8"/>
  <c r="G370" i="8"/>
  <c r="F370" i="8"/>
  <c r="J369" i="8"/>
  <c r="K369" i="8" s="1"/>
  <c r="H369" i="8"/>
  <c r="G369" i="8"/>
  <c r="F369" i="8"/>
  <c r="J368" i="8"/>
  <c r="H368" i="8"/>
  <c r="D368" i="8"/>
  <c r="K368" i="8" s="1"/>
  <c r="J367" i="8"/>
  <c r="H367" i="8"/>
  <c r="F367" i="8"/>
  <c r="D367" i="8"/>
  <c r="J366" i="8"/>
  <c r="H366" i="8"/>
  <c r="D366" i="8"/>
  <c r="F366" i="8" s="1"/>
  <c r="J365" i="8"/>
  <c r="K365" i="8" s="1"/>
  <c r="H365" i="8"/>
  <c r="G365" i="8"/>
  <c r="F365" i="8"/>
  <c r="J364" i="8"/>
  <c r="H364" i="8"/>
  <c r="D364" i="8"/>
  <c r="F364" i="8" s="1"/>
  <c r="J363" i="8"/>
  <c r="K363" i="8" s="1"/>
  <c r="H363" i="8"/>
  <c r="G363" i="8"/>
  <c r="F363" i="8"/>
  <c r="J362" i="8"/>
  <c r="H362" i="8"/>
  <c r="D362" i="8"/>
  <c r="F362" i="8" s="1"/>
  <c r="J361" i="8"/>
  <c r="K361" i="8" s="1"/>
  <c r="H361" i="8"/>
  <c r="D361" i="8"/>
  <c r="F361" i="8" s="1"/>
  <c r="J360" i="8"/>
  <c r="H360" i="8"/>
  <c r="D360" i="8"/>
  <c r="F360" i="8" s="1"/>
  <c r="J359" i="8"/>
  <c r="K359" i="8" s="1"/>
  <c r="H359" i="8"/>
  <c r="G359" i="8"/>
  <c r="F359" i="8"/>
  <c r="J358" i="8"/>
  <c r="K358" i="8" s="1"/>
  <c r="H358" i="8"/>
  <c r="G358" i="8"/>
  <c r="F358" i="8"/>
  <c r="J357" i="8"/>
  <c r="K357" i="8" s="1"/>
  <c r="H357" i="8"/>
  <c r="G357" i="8"/>
  <c r="F357" i="8"/>
  <c r="J356" i="8"/>
  <c r="H356" i="8"/>
  <c r="D356" i="8"/>
  <c r="F356" i="8" s="1"/>
  <c r="J355" i="8"/>
  <c r="K355" i="8" s="1"/>
  <c r="H355" i="8"/>
  <c r="G355" i="8"/>
  <c r="F355" i="8"/>
  <c r="K354" i="8"/>
  <c r="J354" i="8"/>
  <c r="H354" i="8"/>
  <c r="G354" i="8"/>
  <c r="F354" i="8"/>
  <c r="J353" i="8"/>
  <c r="K353" i="8" s="1"/>
  <c r="H353" i="8"/>
  <c r="G353" i="8"/>
  <c r="F353" i="8"/>
  <c r="J352" i="8"/>
  <c r="K352" i="8" s="1"/>
  <c r="H352" i="8"/>
  <c r="G352" i="8"/>
  <c r="F352" i="8"/>
  <c r="J351" i="8"/>
  <c r="K351" i="8" s="1"/>
  <c r="H351" i="8"/>
  <c r="G351" i="8"/>
  <c r="F351" i="8"/>
  <c r="J350" i="8"/>
  <c r="K350" i="8" s="1"/>
  <c r="H350" i="8"/>
  <c r="G350" i="8"/>
  <c r="F350" i="8"/>
  <c r="J349" i="8"/>
  <c r="K349" i="8" s="1"/>
  <c r="H349" i="8"/>
  <c r="G349" i="8"/>
  <c r="F349" i="8"/>
  <c r="J348" i="8"/>
  <c r="K348" i="8" s="1"/>
  <c r="H348" i="8"/>
  <c r="G348" i="8"/>
  <c r="F348" i="8"/>
  <c r="J347" i="8"/>
  <c r="K347" i="8" s="1"/>
  <c r="H347" i="8"/>
  <c r="G347" i="8"/>
  <c r="F347" i="8"/>
  <c r="J346" i="8"/>
  <c r="K346" i="8" s="1"/>
  <c r="H346" i="8"/>
  <c r="G346" i="8"/>
  <c r="F346" i="8"/>
  <c r="J345" i="8"/>
  <c r="K345" i="8" s="1"/>
  <c r="H345" i="8"/>
  <c r="G345" i="8"/>
  <c r="F345" i="8"/>
  <c r="J344" i="8"/>
  <c r="K344" i="8" s="1"/>
  <c r="H344" i="8"/>
  <c r="G344" i="8"/>
  <c r="F344" i="8"/>
  <c r="J343" i="8"/>
  <c r="K343" i="8" s="1"/>
  <c r="H343" i="8"/>
  <c r="G343" i="8"/>
  <c r="F343" i="8"/>
  <c r="J342" i="8"/>
  <c r="K342" i="8" s="1"/>
  <c r="H342" i="8"/>
  <c r="G342" i="8"/>
  <c r="F342" i="8"/>
  <c r="J341" i="8"/>
  <c r="K341" i="8" s="1"/>
  <c r="H341" i="8"/>
  <c r="G341" i="8"/>
  <c r="F341" i="8"/>
  <c r="J340" i="8"/>
  <c r="K340" i="8" s="1"/>
  <c r="H340" i="8"/>
  <c r="G340" i="8"/>
  <c r="F340" i="8"/>
  <c r="J339" i="8"/>
  <c r="K339" i="8" s="1"/>
  <c r="H339" i="8"/>
  <c r="G339" i="8"/>
  <c r="F339" i="8"/>
  <c r="J338" i="8"/>
  <c r="K338" i="8" s="1"/>
  <c r="H338" i="8"/>
  <c r="G338" i="8"/>
  <c r="F338" i="8"/>
  <c r="J337" i="8"/>
  <c r="K337" i="8" s="1"/>
  <c r="H337" i="8"/>
  <c r="G337" i="8"/>
  <c r="F337" i="8"/>
  <c r="J336" i="8"/>
  <c r="K336" i="8" s="1"/>
  <c r="H336" i="8"/>
  <c r="G336" i="8"/>
  <c r="F336" i="8"/>
  <c r="J335" i="8"/>
  <c r="K335" i="8" s="1"/>
  <c r="H335" i="8"/>
  <c r="G335" i="8"/>
  <c r="F335" i="8"/>
  <c r="J334" i="8"/>
  <c r="K334" i="8" s="1"/>
  <c r="H334" i="8"/>
  <c r="G334" i="8"/>
  <c r="F334" i="8"/>
  <c r="J333" i="8"/>
  <c r="K333" i="8" s="1"/>
  <c r="H333" i="8"/>
  <c r="G333" i="8"/>
  <c r="F333" i="8"/>
  <c r="J332" i="8"/>
  <c r="K332" i="8" s="1"/>
  <c r="H332" i="8"/>
  <c r="G332" i="8"/>
  <c r="F332" i="8"/>
  <c r="J331" i="8"/>
  <c r="K331" i="8" s="1"/>
  <c r="H331" i="8"/>
  <c r="G331" i="8"/>
  <c r="F331" i="8"/>
  <c r="J330" i="8"/>
  <c r="K330" i="8" s="1"/>
  <c r="H330" i="8"/>
  <c r="G330" i="8"/>
  <c r="F330" i="8"/>
  <c r="J329" i="8"/>
  <c r="K329" i="8" s="1"/>
  <c r="H329" i="8"/>
  <c r="G329" i="8"/>
  <c r="F329" i="8"/>
  <c r="J328" i="8"/>
  <c r="K328" i="8" s="1"/>
  <c r="H328" i="8"/>
  <c r="G328" i="8"/>
  <c r="F328" i="8"/>
  <c r="J327" i="8"/>
  <c r="K327" i="8" s="1"/>
  <c r="H327" i="8"/>
  <c r="G327" i="8"/>
  <c r="F327" i="8"/>
  <c r="J326" i="8"/>
  <c r="H326" i="8"/>
  <c r="G326" i="8"/>
  <c r="D326" i="8"/>
  <c r="F326" i="8" s="1"/>
  <c r="J325" i="8"/>
  <c r="H325" i="8"/>
  <c r="D325" i="8"/>
  <c r="F325" i="8" s="1"/>
  <c r="J324" i="8"/>
  <c r="K324" i="8" s="1"/>
  <c r="H324" i="8"/>
  <c r="G324" i="8"/>
  <c r="F324" i="8"/>
  <c r="J323" i="8"/>
  <c r="K323" i="8" s="1"/>
  <c r="H323" i="8"/>
  <c r="G323" i="8"/>
  <c r="F323" i="8"/>
  <c r="J322" i="8"/>
  <c r="K322" i="8" s="1"/>
  <c r="H322" i="8"/>
  <c r="G322" i="8"/>
  <c r="F322" i="8"/>
  <c r="J321" i="8"/>
  <c r="K321" i="8" s="1"/>
  <c r="H321" i="8"/>
  <c r="G321" i="8"/>
  <c r="F321" i="8"/>
  <c r="J320" i="8"/>
  <c r="K320" i="8" s="1"/>
  <c r="H320" i="8"/>
  <c r="G320" i="8"/>
  <c r="F320" i="8"/>
  <c r="J319" i="8"/>
  <c r="K319" i="8" s="1"/>
  <c r="H319" i="8"/>
  <c r="G319" i="8"/>
  <c r="F319" i="8"/>
  <c r="J318" i="8"/>
  <c r="K318" i="8" s="1"/>
  <c r="H318" i="8"/>
  <c r="G318" i="8"/>
  <c r="F318" i="8"/>
  <c r="J317" i="8"/>
  <c r="K317" i="8" s="1"/>
  <c r="H317" i="8"/>
  <c r="G317" i="8"/>
  <c r="F317" i="8"/>
  <c r="J316" i="8"/>
  <c r="K316" i="8" s="1"/>
  <c r="H316" i="8"/>
  <c r="G316" i="8"/>
  <c r="F316" i="8"/>
  <c r="J315" i="8"/>
  <c r="K315" i="8" s="1"/>
  <c r="H315" i="8"/>
  <c r="G315" i="8"/>
  <c r="F315" i="8"/>
  <c r="J314" i="8"/>
  <c r="K314" i="8" s="1"/>
  <c r="H314" i="8"/>
  <c r="G314" i="8"/>
  <c r="F314" i="8"/>
  <c r="J313" i="8"/>
  <c r="K313" i="8" s="1"/>
  <c r="H313" i="8"/>
  <c r="G313" i="8"/>
  <c r="F313" i="8"/>
  <c r="J312" i="8"/>
  <c r="K312" i="8" s="1"/>
  <c r="H312" i="8"/>
  <c r="G312" i="8"/>
  <c r="F312" i="8"/>
  <c r="J311" i="8"/>
  <c r="K311" i="8" s="1"/>
  <c r="H311" i="8"/>
  <c r="G311" i="8"/>
  <c r="F311" i="8"/>
  <c r="J310" i="8"/>
  <c r="K310" i="8" s="1"/>
  <c r="H310" i="8"/>
  <c r="G310" i="8"/>
  <c r="F310" i="8"/>
  <c r="J309" i="8"/>
  <c r="K309" i="8" s="1"/>
  <c r="H309" i="8"/>
  <c r="G309" i="8"/>
  <c r="F309" i="8"/>
  <c r="J308" i="8"/>
  <c r="K308" i="8" s="1"/>
  <c r="H308" i="8"/>
  <c r="G308" i="8"/>
  <c r="F308" i="8"/>
  <c r="J307" i="8"/>
  <c r="H307" i="8"/>
  <c r="D307" i="8"/>
  <c r="G307" i="8" s="1"/>
  <c r="J306" i="8"/>
  <c r="K306" i="8" s="1"/>
  <c r="H306" i="8"/>
  <c r="G306" i="8"/>
  <c r="F306" i="8"/>
  <c r="J305" i="8"/>
  <c r="K305" i="8" s="1"/>
  <c r="H305" i="8"/>
  <c r="G305" i="8"/>
  <c r="F305" i="8"/>
  <c r="J304" i="8"/>
  <c r="K304" i="8" s="1"/>
  <c r="H304" i="8"/>
  <c r="G304" i="8"/>
  <c r="F304" i="8"/>
  <c r="J303" i="8"/>
  <c r="K303" i="8" s="1"/>
  <c r="H303" i="8"/>
  <c r="G303" i="8"/>
  <c r="F303" i="8"/>
  <c r="H302" i="8"/>
  <c r="E302" i="8"/>
  <c r="H301" i="8"/>
  <c r="E301" i="8"/>
  <c r="J301" i="8" s="1"/>
  <c r="D301" i="8"/>
  <c r="H300" i="8"/>
  <c r="E300" i="8"/>
  <c r="J300" i="8" s="1"/>
  <c r="D300" i="8"/>
  <c r="H299" i="8"/>
  <c r="E299" i="8"/>
  <c r="D299" i="8"/>
  <c r="H298" i="8"/>
  <c r="E298" i="8"/>
  <c r="H297" i="8"/>
  <c r="E297" i="8"/>
  <c r="H296" i="8"/>
  <c r="E296" i="8"/>
  <c r="J296" i="8" s="1"/>
  <c r="D296" i="8"/>
  <c r="H295" i="8"/>
  <c r="E295" i="8"/>
  <c r="J295" i="8" s="1"/>
  <c r="D295" i="8"/>
  <c r="H294" i="8"/>
  <c r="E294" i="8"/>
  <c r="J294" i="8" s="1"/>
  <c r="D294" i="8"/>
  <c r="H293" i="8"/>
  <c r="E293" i="8"/>
  <c r="D293" i="8"/>
  <c r="H292" i="8"/>
  <c r="E292" i="8"/>
  <c r="J292" i="8" s="1"/>
  <c r="D292" i="8"/>
  <c r="H291" i="8"/>
  <c r="E291" i="8"/>
  <c r="D291" i="8"/>
  <c r="H290" i="8"/>
  <c r="E290" i="8"/>
  <c r="J290" i="8" s="1"/>
  <c r="D290" i="8"/>
  <c r="H289" i="8"/>
  <c r="E289" i="8"/>
  <c r="D289" i="8"/>
  <c r="H288" i="8"/>
  <c r="E288" i="8"/>
  <c r="J288" i="8" s="1"/>
  <c r="D288" i="8"/>
  <c r="H287" i="8"/>
  <c r="E287" i="8"/>
  <c r="J287" i="8" s="1"/>
  <c r="D287" i="8"/>
  <c r="H286" i="8"/>
  <c r="E286" i="8"/>
  <c r="D286" i="8"/>
  <c r="H285" i="8"/>
  <c r="E285" i="8"/>
  <c r="H284" i="8"/>
  <c r="E284" i="8"/>
  <c r="J284" i="8" s="1"/>
  <c r="D284" i="8"/>
  <c r="H283" i="8"/>
  <c r="E283" i="8"/>
  <c r="J283" i="8" s="1"/>
  <c r="D283" i="8"/>
  <c r="H282" i="8"/>
  <c r="E282" i="8"/>
  <c r="H281" i="8"/>
  <c r="E281" i="8"/>
  <c r="D281" i="8"/>
  <c r="H280" i="8"/>
  <c r="E280" i="8"/>
  <c r="J280" i="8" s="1"/>
  <c r="D280" i="8"/>
  <c r="H279" i="8"/>
  <c r="E279" i="8"/>
  <c r="J279" i="8" s="1"/>
  <c r="J278" i="8"/>
  <c r="K278" i="8" s="1"/>
  <c r="H278" i="8"/>
  <c r="G278" i="8"/>
  <c r="F278" i="8"/>
  <c r="J277" i="8"/>
  <c r="K277" i="8" s="1"/>
  <c r="H277" i="8"/>
  <c r="G277" i="8"/>
  <c r="F277" i="8"/>
  <c r="J276" i="8"/>
  <c r="K276" i="8" s="1"/>
  <c r="H276" i="8"/>
  <c r="G276" i="8"/>
  <c r="F276" i="8"/>
  <c r="J275" i="8"/>
  <c r="K275" i="8" s="1"/>
  <c r="H275" i="8"/>
  <c r="G275" i="8"/>
  <c r="F275" i="8"/>
  <c r="J274" i="8"/>
  <c r="K274" i="8" s="1"/>
  <c r="H274" i="8"/>
  <c r="G274" i="8"/>
  <c r="F274" i="8"/>
  <c r="J273" i="8"/>
  <c r="K273" i="8" s="1"/>
  <c r="H273" i="8"/>
  <c r="G273" i="8"/>
  <c r="F273" i="8"/>
  <c r="J272" i="8"/>
  <c r="K272" i="8" s="1"/>
  <c r="H272" i="8"/>
  <c r="G272" i="8"/>
  <c r="F272" i="8"/>
  <c r="J271" i="8"/>
  <c r="K271" i="8" s="1"/>
  <c r="H271" i="8"/>
  <c r="F271" i="8"/>
  <c r="D271" i="8"/>
  <c r="G271" i="8" s="1"/>
  <c r="J270" i="8"/>
  <c r="H270" i="8"/>
  <c r="D270" i="8"/>
  <c r="G270" i="8" s="1"/>
  <c r="J269" i="8"/>
  <c r="K269" i="8" s="1"/>
  <c r="H269" i="8"/>
  <c r="G269" i="8"/>
  <c r="F269" i="8"/>
  <c r="J268" i="8"/>
  <c r="K268" i="8" s="1"/>
  <c r="H268" i="8"/>
  <c r="G268" i="8"/>
  <c r="F268" i="8"/>
  <c r="J267" i="8"/>
  <c r="K267" i="8" s="1"/>
  <c r="H267" i="8"/>
  <c r="G267" i="8"/>
  <c r="F267" i="8"/>
  <c r="J266" i="8"/>
  <c r="K266" i="8" s="1"/>
  <c r="H266" i="8"/>
  <c r="G266" i="8"/>
  <c r="F266" i="8"/>
  <c r="J265" i="8"/>
  <c r="K265" i="8" s="1"/>
  <c r="H265" i="8"/>
  <c r="G265" i="8"/>
  <c r="F265" i="8"/>
  <c r="J264" i="8"/>
  <c r="K264" i="8" s="1"/>
  <c r="H264" i="8"/>
  <c r="G264" i="8"/>
  <c r="F264" i="8"/>
  <c r="J263" i="8"/>
  <c r="K263" i="8" s="1"/>
  <c r="H263" i="8"/>
  <c r="G263" i="8"/>
  <c r="F263" i="8"/>
  <c r="J262" i="8"/>
  <c r="K262" i="8" s="1"/>
  <c r="H262" i="8"/>
  <c r="G262" i="8"/>
  <c r="F262" i="8"/>
  <c r="J261" i="8"/>
  <c r="K261" i="8" s="1"/>
  <c r="H261" i="8"/>
  <c r="G261" i="8"/>
  <c r="F261" i="8"/>
  <c r="J260" i="8"/>
  <c r="K260" i="8" s="1"/>
  <c r="H260" i="8"/>
  <c r="G260" i="8"/>
  <c r="F260" i="8"/>
  <c r="J259" i="8"/>
  <c r="K259" i="8" s="1"/>
  <c r="H259" i="8"/>
  <c r="G259" i="8"/>
  <c r="F259" i="8"/>
  <c r="J258" i="8"/>
  <c r="K258" i="8" s="1"/>
  <c r="H258" i="8"/>
  <c r="G258" i="8"/>
  <c r="F258" i="8"/>
  <c r="J257" i="8"/>
  <c r="H257" i="8"/>
  <c r="D257" i="8"/>
  <c r="G257" i="8" s="1"/>
  <c r="J256" i="8"/>
  <c r="H256" i="8"/>
  <c r="F256" i="8"/>
  <c r="D256" i="8"/>
  <c r="G256" i="8" s="1"/>
  <c r="J255" i="8"/>
  <c r="K255" i="8" s="1"/>
  <c r="H255" i="8"/>
  <c r="G255" i="8"/>
  <c r="F255" i="8"/>
  <c r="J254" i="8"/>
  <c r="K254" i="8" s="1"/>
  <c r="H254" i="8"/>
  <c r="G254" i="8"/>
  <c r="F254" i="8"/>
  <c r="J253" i="8"/>
  <c r="K253" i="8" s="1"/>
  <c r="H253" i="8"/>
  <c r="G253" i="8"/>
  <c r="F253" i="8"/>
  <c r="J252" i="8"/>
  <c r="K252" i="8" s="1"/>
  <c r="H252" i="8"/>
  <c r="G252" i="8"/>
  <c r="F252" i="8"/>
  <c r="J251" i="8"/>
  <c r="K251" i="8" s="1"/>
  <c r="H251" i="8"/>
  <c r="G251" i="8"/>
  <c r="F251" i="8"/>
  <c r="J250" i="8"/>
  <c r="K250" i="8" s="1"/>
  <c r="H250" i="8"/>
  <c r="G250" i="8"/>
  <c r="F250" i="8"/>
  <c r="J249" i="8"/>
  <c r="K249" i="8" s="1"/>
  <c r="H249" i="8"/>
  <c r="G249" i="8"/>
  <c r="F249" i="8"/>
  <c r="J248" i="8"/>
  <c r="K248" i="8" s="1"/>
  <c r="H248" i="8"/>
  <c r="G248" i="8"/>
  <c r="F248" i="8"/>
  <c r="J247" i="8"/>
  <c r="K247" i="8" s="1"/>
  <c r="H247" i="8"/>
  <c r="G247" i="8"/>
  <c r="F247" i="8"/>
  <c r="J246" i="8"/>
  <c r="K246" i="8" s="1"/>
  <c r="H246" i="8"/>
  <c r="G246" i="8"/>
  <c r="F246" i="8"/>
  <c r="J245" i="8"/>
  <c r="K245" i="8" s="1"/>
  <c r="H245" i="8"/>
  <c r="G245" i="8"/>
  <c r="F245" i="8"/>
  <c r="J244" i="8"/>
  <c r="K244" i="8" s="1"/>
  <c r="H244" i="8"/>
  <c r="G244" i="8"/>
  <c r="F244" i="8"/>
  <c r="J243" i="8"/>
  <c r="K243" i="8" s="1"/>
  <c r="H243" i="8"/>
  <c r="G243" i="8"/>
  <c r="F243" i="8"/>
  <c r="J242" i="8"/>
  <c r="K242" i="8" s="1"/>
  <c r="H242" i="8"/>
  <c r="G242" i="8"/>
  <c r="F242" i="8"/>
  <c r="J241" i="8"/>
  <c r="K241" i="8" s="1"/>
  <c r="H241" i="8"/>
  <c r="G241" i="8"/>
  <c r="F241" i="8"/>
  <c r="J240" i="8"/>
  <c r="K240" i="8" s="1"/>
  <c r="H240" i="8"/>
  <c r="G240" i="8"/>
  <c r="F240" i="8"/>
  <c r="J239" i="8"/>
  <c r="K239" i="8" s="1"/>
  <c r="H239" i="8"/>
  <c r="G239" i="8"/>
  <c r="F239" i="8"/>
  <c r="J238" i="8"/>
  <c r="K238" i="8" s="1"/>
  <c r="H238" i="8"/>
  <c r="G238" i="8"/>
  <c r="F238" i="8"/>
  <c r="J237" i="8"/>
  <c r="K237" i="8" s="1"/>
  <c r="H237" i="8"/>
  <c r="G237" i="8"/>
  <c r="F237" i="8"/>
  <c r="J236" i="8"/>
  <c r="K236" i="8" s="1"/>
  <c r="H236" i="8"/>
  <c r="G236" i="8"/>
  <c r="F236" i="8"/>
  <c r="J235" i="8"/>
  <c r="K235" i="8" s="1"/>
  <c r="H235" i="8"/>
  <c r="G235" i="8"/>
  <c r="F235" i="8"/>
  <c r="J234" i="8"/>
  <c r="K234" i="8" s="1"/>
  <c r="H234" i="8"/>
  <c r="G234" i="8"/>
  <c r="F234" i="8"/>
  <c r="J233" i="8"/>
  <c r="K233" i="8" s="1"/>
  <c r="H233" i="8"/>
  <c r="G233" i="8"/>
  <c r="F233" i="8"/>
  <c r="J232" i="8"/>
  <c r="K232" i="8" s="1"/>
  <c r="H232" i="8"/>
  <c r="G232" i="8"/>
  <c r="F232" i="8"/>
  <c r="J231" i="8"/>
  <c r="K231" i="8" s="1"/>
  <c r="H231" i="8"/>
  <c r="G231" i="8"/>
  <c r="F231" i="8"/>
  <c r="J230" i="8"/>
  <c r="K230" i="8" s="1"/>
  <c r="H230" i="8"/>
  <c r="G230" i="8"/>
  <c r="F230" i="8"/>
  <c r="J229" i="8"/>
  <c r="K229" i="8" s="1"/>
  <c r="H229" i="8"/>
  <c r="G229" i="8"/>
  <c r="F229" i="8"/>
  <c r="J228" i="8"/>
  <c r="K228" i="8" s="1"/>
  <c r="H228" i="8"/>
  <c r="G228" i="8"/>
  <c r="F228" i="8"/>
  <c r="J227" i="8"/>
  <c r="K227" i="8" s="1"/>
  <c r="H227" i="8"/>
  <c r="G227" i="8"/>
  <c r="F227" i="8"/>
  <c r="J226" i="8"/>
  <c r="K226" i="8" s="1"/>
  <c r="H226" i="8"/>
  <c r="G226" i="8"/>
  <c r="F226" i="8"/>
  <c r="J225" i="8"/>
  <c r="K225" i="8" s="1"/>
  <c r="H225" i="8"/>
  <c r="G225" i="8"/>
  <c r="F225" i="8"/>
  <c r="J224" i="8"/>
  <c r="K224" i="8" s="1"/>
  <c r="H224" i="8"/>
  <c r="G224" i="8"/>
  <c r="F224" i="8"/>
  <c r="J223" i="8"/>
  <c r="K223" i="8" s="1"/>
  <c r="H223" i="8"/>
  <c r="G223" i="8"/>
  <c r="F223" i="8"/>
  <c r="J222" i="8"/>
  <c r="K222" i="8" s="1"/>
  <c r="H222" i="8"/>
  <c r="G222" i="8"/>
  <c r="F222" i="8"/>
  <c r="J221" i="8"/>
  <c r="K221" i="8" s="1"/>
  <c r="H221" i="8"/>
  <c r="G221" i="8"/>
  <c r="F221" i="8"/>
  <c r="J220" i="8"/>
  <c r="K220" i="8" s="1"/>
  <c r="H220" i="8"/>
  <c r="G220" i="8"/>
  <c r="F220" i="8"/>
  <c r="J219" i="8"/>
  <c r="K219" i="8" s="1"/>
  <c r="H219" i="8"/>
  <c r="G219" i="8"/>
  <c r="F219" i="8"/>
  <c r="J218" i="8"/>
  <c r="K218" i="8" s="1"/>
  <c r="H218" i="8"/>
  <c r="G218" i="8"/>
  <c r="F218" i="8"/>
  <c r="J217" i="8"/>
  <c r="K217" i="8" s="1"/>
  <c r="H217" i="8"/>
  <c r="G217" i="8"/>
  <c r="F217" i="8"/>
  <c r="J216" i="8"/>
  <c r="K216" i="8" s="1"/>
  <c r="H216" i="8"/>
  <c r="G216" i="8"/>
  <c r="F216" i="8"/>
  <c r="J215" i="8"/>
  <c r="K215" i="8" s="1"/>
  <c r="H215" i="8"/>
  <c r="G215" i="8"/>
  <c r="F215" i="8"/>
  <c r="J214" i="8"/>
  <c r="K214" i="8" s="1"/>
  <c r="H214" i="8"/>
  <c r="G214" i="8"/>
  <c r="F214" i="8"/>
  <c r="J213" i="8"/>
  <c r="K213" i="8" s="1"/>
  <c r="H213" i="8"/>
  <c r="G213" i="8"/>
  <c r="F213" i="8"/>
  <c r="J212" i="8"/>
  <c r="K212" i="8" s="1"/>
  <c r="H212" i="8"/>
  <c r="G212" i="8"/>
  <c r="F212" i="8"/>
  <c r="J211" i="8"/>
  <c r="K211" i="8" s="1"/>
  <c r="H211" i="8"/>
  <c r="G211" i="8"/>
  <c r="F211" i="8"/>
  <c r="J210" i="8"/>
  <c r="K210" i="8" s="1"/>
  <c r="H210" i="8"/>
  <c r="G210" i="8"/>
  <c r="F210" i="8"/>
  <c r="J209" i="8"/>
  <c r="K209" i="8" s="1"/>
  <c r="H209" i="8"/>
  <c r="G209" i="8"/>
  <c r="F209" i="8"/>
  <c r="J208" i="8"/>
  <c r="K208" i="8" s="1"/>
  <c r="H208" i="8"/>
  <c r="G208" i="8"/>
  <c r="F208" i="8"/>
  <c r="J207" i="8"/>
  <c r="K207" i="8" s="1"/>
  <c r="H207" i="8"/>
  <c r="G207" i="8"/>
  <c r="F207" i="8"/>
  <c r="J206" i="8"/>
  <c r="K206" i="8" s="1"/>
  <c r="H206" i="8"/>
  <c r="G206" i="8"/>
  <c r="F206" i="8"/>
  <c r="J205" i="8"/>
  <c r="K205" i="8" s="1"/>
  <c r="H205" i="8"/>
  <c r="G205" i="8"/>
  <c r="F205" i="8"/>
  <c r="J204" i="8"/>
  <c r="K204" i="8" s="1"/>
  <c r="H204" i="8"/>
  <c r="G204" i="8"/>
  <c r="F204" i="8"/>
  <c r="J203" i="8"/>
  <c r="K203" i="8" s="1"/>
  <c r="H203" i="8"/>
  <c r="G203" i="8"/>
  <c r="F203" i="8"/>
  <c r="J202" i="8"/>
  <c r="K202" i="8" s="1"/>
  <c r="H202" i="8"/>
  <c r="G202" i="8"/>
  <c r="F202" i="8"/>
  <c r="J201" i="8"/>
  <c r="K201" i="8" s="1"/>
  <c r="H201" i="8"/>
  <c r="G201" i="8"/>
  <c r="F201" i="8"/>
  <c r="J200" i="8"/>
  <c r="K200" i="8" s="1"/>
  <c r="H200" i="8"/>
  <c r="G200" i="8"/>
  <c r="F200" i="8"/>
  <c r="J199" i="8"/>
  <c r="K199" i="8" s="1"/>
  <c r="H199" i="8"/>
  <c r="G199" i="8"/>
  <c r="F199" i="8"/>
  <c r="J198" i="8"/>
  <c r="K198" i="8" s="1"/>
  <c r="H198" i="8"/>
  <c r="G198" i="8"/>
  <c r="F198" i="8"/>
  <c r="K197" i="8"/>
  <c r="J197" i="8"/>
  <c r="H197" i="8"/>
  <c r="G197" i="8"/>
  <c r="F197" i="8"/>
  <c r="J196" i="8"/>
  <c r="K196" i="8" s="1"/>
  <c r="H196" i="8"/>
  <c r="G196" i="8"/>
  <c r="F196" i="8"/>
  <c r="J195" i="8"/>
  <c r="K195" i="8" s="1"/>
  <c r="H195" i="8"/>
  <c r="G195" i="8"/>
  <c r="F195" i="8"/>
  <c r="J194" i="8"/>
  <c r="K194" i="8" s="1"/>
  <c r="H194" i="8"/>
  <c r="G194" i="8"/>
  <c r="F194" i="8"/>
  <c r="J193" i="8"/>
  <c r="K193" i="8" s="1"/>
  <c r="H193" i="8"/>
  <c r="G193" i="8"/>
  <c r="F193" i="8"/>
  <c r="J192" i="8"/>
  <c r="K192" i="8" s="1"/>
  <c r="H192" i="8"/>
  <c r="G192" i="8"/>
  <c r="F192" i="8"/>
  <c r="J191" i="8"/>
  <c r="K191" i="8" s="1"/>
  <c r="H191" i="8"/>
  <c r="G191" i="8"/>
  <c r="F191" i="8"/>
  <c r="J190" i="8"/>
  <c r="K190" i="8" s="1"/>
  <c r="H190" i="8"/>
  <c r="G190" i="8"/>
  <c r="F190" i="8"/>
  <c r="J189" i="8"/>
  <c r="H189" i="8"/>
  <c r="D189" i="8"/>
  <c r="G189" i="8" s="1"/>
  <c r="J188" i="8"/>
  <c r="H188" i="8"/>
  <c r="D188" i="8"/>
  <c r="G188" i="8" s="1"/>
  <c r="J187" i="8"/>
  <c r="H187" i="8"/>
  <c r="D187" i="8"/>
  <c r="G187" i="8" s="1"/>
  <c r="J186" i="8"/>
  <c r="H186" i="8"/>
  <c r="G186" i="8"/>
  <c r="D186" i="8"/>
  <c r="J185" i="8"/>
  <c r="H185" i="8"/>
  <c r="D185" i="8"/>
  <c r="G185" i="8" s="1"/>
  <c r="J184" i="8"/>
  <c r="H184" i="8"/>
  <c r="D184" i="8"/>
  <c r="G184" i="8" s="1"/>
  <c r="J183" i="8"/>
  <c r="H183" i="8"/>
  <c r="D183" i="8"/>
  <c r="G183" i="8" s="1"/>
  <c r="J182" i="8"/>
  <c r="H182" i="8"/>
  <c r="D182" i="8"/>
  <c r="G182" i="8" s="1"/>
  <c r="J181" i="8"/>
  <c r="H181" i="8"/>
  <c r="D181" i="8"/>
  <c r="G181" i="8" s="1"/>
  <c r="J180" i="8"/>
  <c r="H180" i="8"/>
  <c r="G180" i="8"/>
  <c r="D180" i="8"/>
  <c r="J179" i="8"/>
  <c r="H179" i="8"/>
  <c r="D179" i="8"/>
  <c r="G179" i="8" s="1"/>
  <c r="J178" i="8"/>
  <c r="H178" i="8"/>
  <c r="D178" i="8"/>
  <c r="G178" i="8" s="1"/>
  <c r="J177" i="8"/>
  <c r="H177" i="8"/>
  <c r="D177" i="8"/>
  <c r="G177" i="8" s="1"/>
  <c r="J176" i="8"/>
  <c r="H176" i="8"/>
  <c r="D176" i="8"/>
  <c r="G176" i="8" s="1"/>
  <c r="J175" i="8"/>
  <c r="H175" i="8"/>
  <c r="D175" i="8"/>
  <c r="G175" i="8" s="1"/>
  <c r="J174" i="8"/>
  <c r="H174" i="8"/>
  <c r="D174" i="8"/>
  <c r="G174" i="8" s="1"/>
  <c r="J173" i="8"/>
  <c r="H173" i="8"/>
  <c r="D173" i="8"/>
  <c r="G173" i="8" s="1"/>
  <c r="J172" i="8"/>
  <c r="H172" i="8"/>
  <c r="D172" i="8"/>
  <c r="G172" i="8" s="1"/>
  <c r="J171" i="8"/>
  <c r="H171" i="8"/>
  <c r="D171" i="8"/>
  <c r="G171" i="8" s="1"/>
  <c r="J170" i="8"/>
  <c r="H170" i="8"/>
  <c r="G170" i="8"/>
  <c r="D170" i="8"/>
  <c r="J169" i="8"/>
  <c r="H169" i="8"/>
  <c r="D169" i="8"/>
  <c r="G169" i="8" s="1"/>
  <c r="J168" i="8"/>
  <c r="H168" i="8"/>
  <c r="D168" i="8"/>
  <c r="G168" i="8" s="1"/>
  <c r="J167" i="8"/>
  <c r="H167" i="8"/>
  <c r="D167" i="8"/>
  <c r="G167" i="8" s="1"/>
  <c r="J166" i="8"/>
  <c r="H166" i="8"/>
  <c r="D166" i="8"/>
  <c r="G166" i="8" s="1"/>
  <c r="J165" i="8"/>
  <c r="H165" i="8"/>
  <c r="D165" i="8"/>
  <c r="G165" i="8" s="1"/>
  <c r="J164" i="8"/>
  <c r="K164" i="8" s="1"/>
  <c r="H164" i="8"/>
  <c r="G164" i="8"/>
  <c r="F164" i="8"/>
  <c r="J163" i="8"/>
  <c r="K163" i="8" s="1"/>
  <c r="H163" i="8"/>
  <c r="G163" i="8"/>
  <c r="F163" i="8"/>
  <c r="J162" i="8"/>
  <c r="K162" i="8" s="1"/>
  <c r="H162" i="8"/>
  <c r="G162" i="8"/>
  <c r="F162" i="8"/>
  <c r="J161" i="8"/>
  <c r="K161" i="8" s="1"/>
  <c r="H161" i="8"/>
  <c r="G161" i="8"/>
  <c r="F161" i="8"/>
  <c r="J160" i="8"/>
  <c r="K160" i="8" s="1"/>
  <c r="H160" i="8"/>
  <c r="G160" i="8"/>
  <c r="F160" i="8"/>
  <c r="J159" i="8"/>
  <c r="H159" i="8"/>
  <c r="D159" i="8"/>
  <c r="F159" i="8" s="1"/>
  <c r="J158" i="8"/>
  <c r="H158" i="8"/>
  <c r="D158" i="8"/>
  <c r="F158" i="8" s="1"/>
  <c r="J157" i="8"/>
  <c r="H157" i="8"/>
  <c r="D157" i="8"/>
  <c r="F157" i="8" s="1"/>
  <c r="J156" i="8"/>
  <c r="H156" i="8"/>
  <c r="D156" i="8"/>
  <c r="F156" i="8" s="1"/>
  <c r="J155" i="8"/>
  <c r="H155" i="8"/>
  <c r="D155" i="8"/>
  <c r="F155" i="8" s="1"/>
  <c r="J154" i="8"/>
  <c r="H154" i="8"/>
  <c r="D154" i="8"/>
  <c r="F154" i="8" s="1"/>
  <c r="J153" i="8"/>
  <c r="H153" i="8"/>
  <c r="D153" i="8"/>
  <c r="F153" i="8" s="1"/>
  <c r="J152" i="8"/>
  <c r="H152" i="8"/>
  <c r="D152" i="8"/>
  <c r="F152" i="8" s="1"/>
  <c r="K151" i="8"/>
  <c r="J151" i="8"/>
  <c r="H151" i="8"/>
  <c r="D151" i="8"/>
  <c r="F151" i="8" s="1"/>
  <c r="J150" i="8"/>
  <c r="H150" i="8"/>
  <c r="D150" i="8"/>
  <c r="F150" i="8" s="1"/>
  <c r="J149" i="8"/>
  <c r="H149" i="8"/>
  <c r="D149" i="8"/>
  <c r="F149" i="8" s="1"/>
  <c r="J148" i="8"/>
  <c r="H148" i="8"/>
  <c r="D148" i="8"/>
  <c r="F148" i="8" s="1"/>
  <c r="J147" i="8"/>
  <c r="H147" i="8"/>
  <c r="D147" i="8"/>
  <c r="F147" i="8" s="1"/>
  <c r="J146" i="8"/>
  <c r="H146" i="8"/>
  <c r="D146" i="8"/>
  <c r="F146" i="8" s="1"/>
  <c r="J145" i="8"/>
  <c r="K145" i="8" s="1"/>
  <c r="H145" i="8"/>
  <c r="D145" i="8"/>
  <c r="F145" i="8" s="1"/>
  <c r="J144" i="8"/>
  <c r="H144" i="8"/>
  <c r="D144" i="8"/>
  <c r="F144" i="8" s="1"/>
  <c r="J143" i="8"/>
  <c r="K143" i="8" s="1"/>
  <c r="H143" i="8"/>
  <c r="G143" i="8"/>
  <c r="F143" i="8"/>
  <c r="J142" i="8"/>
  <c r="K142" i="8" s="1"/>
  <c r="H142" i="8"/>
  <c r="G142" i="8"/>
  <c r="F142" i="8"/>
  <c r="J141" i="8"/>
  <c r="K141" i="8" s="1"/>
  <c r="H141" i="8"/>
  <c r="G141" i="8"/>
  <c r="F141" i="8"/>
  <c r="J140" i="8"/>
  <c r="K140" i="8" s="1"/>
  <c r="H140" i="8"/>
  <c r="G140" i="8"/>
  <c r="F140" i="8"/>
  <c r="J139" i="8"/>
  <c r="K139" i="8" s="1"/>
  <c r="H139" i="8"/>
  <c r="G139" i="8"/>
  <c r="F139" i="8"/>
  <c r="J138" i="8"/>
  <c r="K138" i="8" s="1"/>
  <c r="H138" i="8"/>
  <c r="G138" i="8"/>
  <c r="F138" i="8"/>
  <c r="J137" i="8"/>
  <c r="H137" i="8"/>
  <c r="F137" i="8"/>
  <c r="D137" i="8"/>
  <c r="G137" i="8" s="1"/>
  <c r="J136" i="8"/>
  <c r="H136" i="8"/>
  <c r="D136" i="8"/>
  <c r="G136" i="8" s="1"/>
  <c r="J135" i="8"/>
  <c r="H135" i="8"/>
  <c r="F135" i="8"/>
  <c r="D135" i="8"/>
  <c r="G135" i="8" s="1"/>
  <c r="J134" i="8"/>
  <c r="K134" i="8" s="1"/>
  <c r="H134" i="8"/>
  <c r="G134" i="8"/>
  <c r="F134" i="8"/>
  <c r="J133" i="8"/>
  <c r="H133" i="8"/>
  <c r="G133" i="8"/>
  <c r="D133" i="8"/>
  <c r="J132" i="8"/>
  <c r="K132" i="8" s="1"/>
  <c r="H132" i="8"/>
  <c r="G132" i="8"/>
  <c r="F132" i="8"/>
  <c r="J131" i="8"/>
  <c r="K131" i="8" s="1"/>
  <c r="H131" i="8"/>
  <c r="G131" i="8"/>
  <c r="F131" i="8"/>
  <c r="J130" i="8"/>
  <c r="K130" i="8" s="1"/>
  <c r="H130" i="8"/>
  <c r="G130" i="8"/>
  <c r="F130" i="8"/>
  <c r="J129" i="8"/>
  <c r="K129" i="8" s="1"/>
  <c r="H129" i="8"/>
  <c r="G129" i="8"/>
  <c r="F129" i="8"/>
  <c r="J128" i="8"/>
  <c r="K128" i="8" s="1"/>
  <c r="H128" i="8"/>
  <c r="G128" i="8"/>
  <c r="F128" i="8"/>
  <c r="J127" i="8"/>
  <c r="H127" i="8"/>
  <c r="D127" i="8"/>
  <c r="F127" i="8" s="1"/>
  <c r="J126" i="8"/>
  <c r="H126" i="8"/>
  <c r="D126" i="8"/>
  <c r="F126" i="8" s="1"/>
  <c r="J125" i="8"/>
  <c r="K125" i="8" s="1"/>
  <c r="H125" i="8"/>
  <c r="G125" i="8"/>
  <c r="F125" i="8"/>
  <c r="J124" i="8"/>
  <c r="K124" i="8" s="1"/>
  <c r="H124" i="8"/>
  <c r="G124" i="8"/>
  <c r="F124" i="8"/>
  <c r="J123" i="8"/>
  <c r="H123" i="8"/>
  <c r="D123" i="8"/>
  <c r="J122" i="8"/>
  <c r="H122" i="8"/>
  <c r="F122" i="8"/>
  <c r="D122" i="8"/>
  <c r="J121" i="8"/>
  <c r="H121" i="8"/>
  <c r="D121" i="8"/>
  <c r="K121" i="8" s="1"/>
  <c r="J120" i="8"/>
  <c r="H120" i="8"/>
  <c r="D120" i="8"/>
  <c r="K120" i="8" s="1"/>
  <c r="J119" i="8"/>
  <c r="K119" i="8" s="1"/>
  <c r="H119" i="8"/>
  <c r="G119" i="8"/>
  <c r="F119" i="8"/>
  <c r="J118" i="8"/>
  <c r="K118" i="8" s="1"/>
  <c r="H118" i="8"/>
  <c r="G118" i="8"/>
  <c r="F118" i="8"/>
  <c r="J117" i="8"/>
  <c r="K117" i="8" s="1"/>
  <c r="H117" i="8"/>
  <c r="G117" i="8"/>
  <c r="F117" i="8"/>
  <c r="J116" i="8"/>
  <c r="K116" i="8" s="1"/>
  <c r="H116" i="8"/>
  <c r="G116" i="8"/>
  <c r="F116" i="8"/>
  <c r="J115" i="8"/>
  <c r="K115" i="8" s="1"/>
  <c r="H115" i="8"/>
  <c r="G115" i="8"/>
  <c r="F115" i="8"/>
  <c r="J114" i="8"/>
  <c r="H114" i="8"/>
  <c r="D114" i="8"/>
  <c r="G114" i="8" s="1"/>
  <c r="J113" i="8"/>
  <c r="K113" i="8" s="1"/>
  <c r="H113" i="8"/>
  <c r="G113" i="8"/>
  <c r="F113" i="8"/>
  <c r="J112" i="8"/>
  <c r="K112" i="8" s="1"/>
  <c r="H112" i="8"/>
  <c r="G112" i="8"/>
  <c r="F112" i="8"/>
  <c r="J111" i="8"/>
  <c r="K111" i="8" s="1"/>
  <c r="H111" i="8"/>
  <c r="G111" i="8"/>
  <c r="F111" i="8"/>
  <c r="J110" i="8"/>
  <c r="K110" i="8" s="1"/>
  <c r="H110" i="8"/>
  <c r="G110" i="8"/>
  <c r="F110" i="8"/>
  <c r="J109" i="8"/>
  <c r="H109" i="8"/>
  <c r="D109" i="8"/>
  <c r="G109" i="8" s="1"/>
  <c r="K108" i="8"/>
  <c r="J108" i="8"/>
  <c r="H108" i="8"/>
  <c r="D108" i="8"/>
  <c r="G108" i="8" s="1"/>
  <c r="J107" i="8"/>
  <c r="K107" i="8" s="1"/>
  <c r="H107" i="8"/>
  <c r="D107" i="8"/>
  <c r="G107" i="8" s="1"/>
  <c r="J106" i="8"/>
  <c r="K106" i="8" s="1"/>
  <c r="H106" i="8"/>
  <c r="G106" i="8"/>
  <c r="F106" i="8"/>
  <c r="J105" i="8"/>
  <c r="K105" i="8" s="1"/>
  <c r="H105" i="8"/>
  <c r="G105" i="8"/>
  <c r="F105" i="8"/>
  <c r="J104" i="8"/>
  <c r="K104" i="8" s="1"/>
  <c r="H104" i="8"/>
  <c r="G104" i="8"/>
  <c r="F104" i="8"/>
  <c r="J103" i="8"/>
  <c r="H103" i="8"/>
  <c r="D103" i="8"/>
  <c r="D434" i="8" s="1"/>
  <c r="J102" i="8"/>
  <c r="K102" i="8" s="1"/>
  <c r="H102" i="8"/>
  <c r="G102" i="8"/>
  <c r="F102" i="8"/>
  <c r="J101" i="8"/>
  <c r="K101" i="8" s="1"/>
  <c r="H101" i="8"/>
  <c r="F101" i="8"/>
  <c r="D101" i="8"/>
  <c r="J100" i="8"/>
  <c r="K100" i="8" s="1"/>
  <c r="H100" i="8"/>
  <c r="G100" i="8"/>
  <c r="F100" i="8"/>
  <c r="J99" i="8"/>
  <c r="K99" i="8" s="1"/>
  <c r="H99" i="8"/>
  <c r="G99" i="8"/>
  <c r="F99" i="8"/>
  <c r="J98" i="8"/>
  <c r="K98" i="8" s="1"/>
  <c r="H98" i="8"/>
  <c r="G98" i="8"/>
  <c r="F98" i="8"/>
  <c r="J97" i="8"/>
  <c r="K97" i="8" s="1"/>
  <c r="H97" i="8"/>
  <c r="G97" i="8"/>
  <c r="F97" i="8"/>
  <c r="J96" i="8"/>
  <c r="K96" i="8" s="1"/>
  <c r="H96" i="8"/>
  <c r="G96" i="8"/>
  <c r="F96" i="8"/>
  <c r="J95" i="8"/>
  <c r="K95" i="8" s="1"/>
  <c r="H95" i="8"/>
  <c r="G95" i="8"/>
  <c r="F95" i="8"/>
  <c r="J94" i="8"/>
  <c r="K94" i="8" s="1"/>
  <c r="H94" i="8"/>
  <c r="G94" i="8"/>
  <c r="F94" i="8"/>
  <c r="J93" i="8"/>
  <c r="K93" i="8" s="1"/>
  <c r="H93" i="8"/>
  <c r="G93" i="8"/>
  <c r="F93" i="8"/>
  <c r="J92" i="8"/>
  <c r="K92" i="8" s="1"/>
  <c r="H92" i="8"/>
  <c r="G92" i="8"/>
  <c r="F92" i="8"/>
  <c r="J91" i="8"/>
  <c r="K91" i="8" s="1"/>
  <c r="H91" i="8"/>
  <c r="G91" i="8"/>
  <c r="F91" i="8"/>
  <c r="J90" i="8"/>
  <c r="K90" i="8" s="1"/>
  <c r="H90" i="8"/>
  <c r="G90" i="8"/>
  <c r="F90" i="8"/>
  <c r="J89" i="8"/>
  <c r="K89" i="8" s="1"/>
  <c r="H89" i="8"/>
  <c r="G89" i="8"/>
  <c r="F89" i="8"/>
  <c r="J88" i="8"/>
  <c r="K88" i="8" s="1"/>
  <c r="H88" i="8"/>
  <c r="G88" i="8"/>
  <c r="F88" i="8"/>
  <c r="J87" i="8"/>
  <c r="K87" i="8" s="1"/>
  <c r="H87" i="8"/>
  <c r="G87" i="8"/>
  <c r="F87" i="8"/>
  <c r="J86" i="8"/>
  <c r="K86" i="8" s="1"/>
  <c r="H86" i="8"/>
  <c r="G86" i="8"/>
  <c r="F86" i="8"/>
  <c r="J85" i="8"/>
  <c r="K85" i="8" s="1"/>
  <c r="H85" i="8"/>
  <c r="G85" i="8"/>
  <c r="F85" i="8"/>
  <c r="J84" i="8"/>
  <c r="K84" i="8" s="1"/>
  <c r="H84" i="8"/>
  <c r="G84" i="8"/>
  <c r="F84" i="8"/>
  <c r="J83" i="8"/>
  <c r="K83" i="8" s="1"/>
  <c r="H83" i="8"/>
  <c r="G83" i="8"/>
  <c r="F83" i="8"/>
  <c r="J82" i="8"/>
  <c r="K82" i="8" s="1"/>
  <c r="H82" i="8"/>
  <c r="G82" i="8"/>
  <c r="F82" i="8"/>
  <c r="J81" i="8"/>
  <c r="K81" i="8" s="1"/>
  <c r="H81" i="8"/>
  <c r="G81" i="8"/>
  <c r="F81" i="8"/>
  <c r="J80" i="8"/>
  <c r="K80" i="8" s="1"/>
  <c r="H80" i="8"/>
  <c r="G80" i="8"/>
  <c r="F80" i="8"/>
  <c r="J79" i="8"/>
  <c r="K79" i="8" s="1"/>
  <c r="H79" i="8"/>
  <c r="G79" i="8"/>
  <c r="F79" i="8"/>
  <c r="J78" i="8"/>
  <c r="K78" i="8" s="1"/>
  <c r="H78" i="8"/>
  <c r="G78" i="8"/>
  <c r="F78" i="8"/>
  <c r="J77" i="8"/>
  <c r="K77" i="8" s="1"/>
  <c r="H77" i="8"/>
  <c r="G77" i="8"/>
  <c r="F77" i="8"/>
  <c r="K76" i="8"/>
  <c r="J76" i="8"/>
  <c r="H76" i="8"/>
  <c r="G76" i="8"/>
  <c r="F76" i="8"/>
  <c r="J75" i="8"/>
  <c r="K75" i="8" s="1"/>
  <c r="H75" i="8"/>
  <c r="G75" i="8"/>
  <c r="F75" i="8"/>
  <c r="J74" i="8"/>
  <c r="K74" i="8" s="1"/>
  <c r="H74" i="8"/>
  <c r="G74" i="8"/>
  <c r="F74" i="8"/>
  <c r="J73" i="8"/>
  <c r="K73" i="8" s="1"/>
  <c r="H73" i="8"/>
  <c r="G73" i="8"/>
  <c r="F73" i="8"/>
  <c r="J72" i="8"/>
  <c r="K72" i="8" s="1"/>
  <c r="H72" i="8"/>
  <c r="G72" i="8"/>
  <c r="F72" i="8"/>
  <c r="J71" i="8"/>
  <c r="K71" i="8" s="1"/>
  <c r="H71" i="8"/>
  <c r="G71" i="8"/>
  <c r="F71" i="8"/>
  <c r="J70" i="8"/>
  <c r="K70" i="8" s="1"/>
  <c r="H70" i="8"/>
  <c r="G70" i="8"/>
  <c r="F70" i="8"/>
  <c r="J69" i="8"/>
  <c r="K69" i="8" s="1"/>
  <c r="H69" i="8"/>
  <c r="G69" i="8"/>
  <c r="F69" i="8"/>
  <c r="J68" i="8"/>
  <c r="K68" i="8" s="1"/>
  <c r="H68" i="8"/>
  <c r="G68" i="8"/>
  <c r="F68" i="8"/>
  <c r="J67" i="8"/>
  <c r="K67" i="8" s="1"/>
  <c r="H67" i="8"/>
  <c r="G67" i="8"/>
  <c r="F67" i="8"/>
  <c r="J66" i="8"/>
  <c r="H66" i="8"/>
  <c r="D66" i="8"/>
  <c r="G66" i="8" s="1"/>
  <c r="K65" i="8"/>
  <c r="J65" i="8"/>
  <c r="H65" i="8"/>
  <c r="D65" i="8"/>
  <c r="G65" i="8" s="1"/>
  <c r="J64" i="8"/>
  <c r="K64" i="8" s="1"/>
  <c r="H64" i="8"/>
  <c r="D64" i="8"/>
  <c r="G64" i="8" s="1"/>
  <c r="J63" i="8"/>
  <c r="H63" i="8"/>
  <c r="D63" i="8"/>
  <c r="G63" i="8" s="1"/>
  <c r="J62" i="8"/>
  <c r="K62" i="8" s="1"/>
  <c r="H62" i="8"/>
  <c r="F62" i="8"/>
  <c r="D62" i="8"/>
  <c r="G62" i="8" s="1"/>
  <c r="J61" i="8"/>
  <c r="H61" i="8"/>
  <c r="D61" i="8"/>
  <c r="K61" i="8" s="1"/>
  <c r="J60" i="8"/>
  <c r="H60" i="8"/>
  <c r="D60" i="8"/>
  <c r="G60" i="8" s="1"/>
  <c r="J59" i="8"/>
  <c r="H59" i="8"/>
  <c r="F59" i="8"/>
  <c r="D59" i="8"/>
  <c r="G59" i="8" s="1"/>
  <c r="J58" i="8"/>
  <c r="H58" i="8"/>
  <c r="D58" i="8"/>
  <c r="G58" i="8" s="1"/>
  <c r="J57" i="8"/>
  <c r="H57" i="8"/>
  <c r="F57" i="8"/>
  <c r="D57" i="8"/>
  <c r="G57" i="8" s="1"/>
  <c r="J56" i="8"/>
  <c r="H56" i="8"/>
  <c r="D56" i="8"/>
  <c r="G56" i="8" s="1"/>
  <c r="J55" i="8"/>
  <c r="H55" i="8"/>
  <c r="D55" i="8"/>
  <c r="G55" i="8" s="1"/>
  <c r="J54" i="8"/>
  <c r="H54" i="8"/>
  <c r="D54" i="8"/>
  <c r="G54" i="8" s="1"/>
  <c r="K53" i="8"/>
  <c r="J53" i="8"/>
  <c r="H53" i="8"/>
  <c r="D53" i="8"/>
  <c r="G53" i="8" s="1"/>
  <c r="K52" i="8"/>
  <c r="J52" i="8"/>
  <c r="H52" i="8"/>
  <c r="G52" i="8"/>
  <c r="F52" i="8"/>
  <c r="J51" i="8"/>
  <c r="K51" i="8" s="1"/>
  <c r="H51" i="8"/>
  <c r="G51" i="8"/>
  <c r="F51" i="8"/>
  <c r="K50" i="8"/>
  <c r="J50" i="8"/>
  <c r="H50" i="8"/>
  <c r="G50" i="8"/>
  <c r="F50" i="8"/>
  <c r="J49" i="8"/>
  <c r="H49" i="8"/>
  <c r="D49" i="8"/>
  <c r="K49" i="8" s="1"/>
  <c r="J48" i="8"/>
  <c r="K48" i="8" s="1"/>
  <c r="H48" i="8"/>
  <c r="G48" i="8"/>
  <c r="F48" i="8"/>
  <c r="J47" i="8"/>
  <c r="K47" i="8" s="1"/>
  <c r="H47" i="8"/>
  <c r="G47" i="8"/>
  <c r="F47" i="8"/>
  <c r="J46" i="8"/>
  <c r="K46" i="8" s="1"/>
  <c r="H46" i="8"/>
  <c r="G46" i="8"/>
  <c r="F46" i="8"/>
  <c r="J45" i="8"/>
  <c r="K45" i="8" s="1"/>
  <c r="H45" i="8"/>
  <c r="G45" i="8"/>
  <c r="F45" i="8"/>
  <c r="J44" i="8"/>
  <c r="K44" i="8" s="1"/>
  <c r="H44" i="8"/>
  <c r="G44" i="8"/>
  <c r="F44" i="8"/>
  <c r="J43" i="8"/>
  <c r="K43" i="8" s="1"/>
  <c r="H43" i="8"/>
  <c r="G43" i="8"/>
  <c r="F43" i="8"/>
  <c r="J42" i="8"/>
  <c r="K42" i="8" s="1"/>
  <c r="H42" i="8"/>
  <c r="G42" i="8"/>
  <c r="F42" i="8"/>
  <c r="J41" i="8"/>
  <c r="K41" i="8" s="1"/>
  <c r="H41" i="8"/>
  <c r="G41" i="8"/>
  <c r="F41" i="8"/>
  <c r="J40" i="8"/>
  <c r="K40" i="8" s="1"/>
  <c r="H40" i="8"/>
  <c r="G40" i="8"/>
  <c r="F40" i="8"/>
  <c r="J39" i="8"/>
  <c r="K39" i="8" s="1"/>
  <c r="H39" i="8"/>
  <c r="G39" i="8"/>
  <c r="F39" i="8"/>
  <c r="J38" i="8"/>
  <c r="K38" i="8" s="1"/>
  <c r="H38" i="8"/>
  <c r="G38" i="8"/>
  <c r="F38" i="8"/>
  <c r="J37" i="8"/>
  <c r="K37" i="8" s="1"/>
  <c r="H37" i="8"/>
  <c r="G37" i="8"/>
  <c r="F37" i="8"/>
  <c r="J36" i="8"/>
  <c r="K36" i="8" s="1"/>
  <c r="H36" i="8"/>
  <c r="G36" i="8"/>
  <c r="F36" i="8"/>
  <c r="K35" i="8"/>
  <c r="J35" i="8"/>
  <c r="H35" i="8"/>
  <c r="G35" i="8"/>
  <c r="F35" i="8"/>
  <c r="J34" i="8"/>
  <c r="K34" i="8" s="1"/>
  <c r="H34" i="8"/>
  <c r="G34" i="8"/>
  <c r="F34" i="8"/>
  <c r="J33" i="8"/>
  <c r="K33" i="8" s="1"/>
  <c r="H33" i="8"/>
  <c r="G33" i="8"/>
  <c r="F33" i="8"/>
  <c r="J32" i="8"/>
  <c r="K32" i="8" s="1"/>
  <c r="H32" i="8"/>
  <c r="G32" i="8"/>
  <c r="F32" i="8"/>
  <c r="J31" i="8"/>
  <c r="K31" i="8" s="1"/>
  <c r="H31" i="8"/>
  <c r="G31" i="8"/>
  <c r="F31" i="8"/>
  <c r="J30" i="8"/>
  <c r="K30" i="8" s="1"/>
  <c r="H30" i="8"/>
  <c r="G30" i="8"/>
  <c r="F30" i="8"/>
  <c r="J29" i="8"/>
  <c r="K29" i="8" s="1"/>
  <c r="H29" i="8"/>
  <c r="G29" i="8"/>
  <c r="F29" i="8"/>
  <c r="J28" i="8"/>
  <c r="K28" i="8" s="1"/>
  <c r="H28" i="8"/>
  <c r="G28" i="8"/>
  <c r="F28" i="8"/>
  <c r="J27" i="8"/>
  <c r="K27" i="8" s="1"/>
  <c r="H27" i="8"/>
  <c r="G27" i="8"/>
  <c r="F27" i="8"/>
  <c r="J26" i="8"/>
  <c r="K26" i="8" s="1"/>
  <c r="H26" i="8"/>
  <c r="G26" i="8"/>
  <c r="F26" i="8"/>
  <c r="J25" i="8"/>
  <c r="K25" i="8" s="1"/>
  <c r="H25" i="8"/>
  <c r="G25" i="8"/>
  <c r="F25" i="8"/>
  <c r="J24" i="8"/>
  <c r="K24" i="8" s="1"/>
  <c r="H24" i="8"/>
  <c r="G24" i="8"/>
  <c r="F24" i="8"/>
  <c r="J23" i="8"/>
  <c r="K23" i="8" s="1"/>
  <c r="H23" i="8"/>
  <c r="G23" i="8"/>
  <c r="F23" i="8"/>
  <c r="J22" i="8"/>
  <c r="K22" i="8" s="1"/>
  <c r="H22" i="8"/>
  <c r="G22" i="8"/>
  <c r="F22" i="8"/>
  <c r="J21" i="8"/>
  <c r="K21" i="8" s="1"/>
  <c r="H21" i="8"/>
  <c r="G21" i="8"/>
  <c r="F21" i="8"/>
  <c r="J20" i="8"/>
  <c r="K20" i="8" s="1"/>
  <c r="H20" i="8"/>
  <c r="G20" i="8"/>
  <c r="F20" i="8"/>
  <c r="J19" i="8"/>
  <c r="K19" i="8" s="1"/>
  <c r="H19" i="8"/>
  <c r="G19" i="8"/>
  <c r="F19" i="8"/>
  <c r="J18" i="8"/>
  <c r="K18" i="8" s="1"/>
  <c r="H18" i="8"/>
  <c r="G18" i="8"/>
  <c r="F18" i="8"/>
  <c r="J17" i="8"/>
  <c r="K17" i="8" s="1"/>
  <c r="H17" i="8"/>
  <c r="G17" i="8"/>
  <c r="F17" i="8"/>
  <c r="J16" i="8"/>
  <c r="K16" i="8" s="1"/>
  <c r="H16" i="8"/>
  <c r="G16" i="8"/>
  <c r="F16" i="8"/>
  <c r="J15" i="8"/>
  <c r="K15" i="8" s="1"/>
  <c r="H15" i="8"/>
  <c r="G15" i="8"/>
  <c r="F15" i="8"/>
  <c r="J14" i="8"/>
  <c r="K14" i="8" s="1"/>
  <c r="H14" i="8"/>
  <c r="G14" i="8"/>
  <c r="F14" i="8"/>
  <c r="J13" i="8"/>
  <c r="K13" i="8" s="1"/>
  <c r="H13" i="8"/>
  <c r="G13" i="8"/>
  <c r="F13" i="8"/>
  <c r="J12" i="8"/>
  <c r="K12" i="8" s="1"/>
  <c r="H12" i="8"/>
  <c r="G12" i="8"/>
  <c r="F12" i="8"/>
  <c r="J11" i="8"/>
  <c r="K11" i="8" s="1"/>
  <c r="H11" i="8"/>
  <c r="G11" i="8"/>
  <c r="F11" i="8"/>
  <c r="J10" i="8"/>
  <c r="K10" i="8" s="1"/>
  <c r="H10" i="8"/>
  <c r="G10" i="8"/>
  <c r="F10" i="8"/>
  <c r="J9" i="8"/>
  <c r="K9" i="8" s="1"/>
  <c r="H9" i="8"/>
  <c r="G9" i="8"/>
  <c r="F9" i="8"/>
  <c r="J8" i="8"/>
  <c r="K8" i="8" s="1"/>
  <c r="H8" i="8"/>
  <c r="G8" i="8"/>
  <c r="F8" i="8"/>
  <c r="J7" i="8"/>
  <c r="K7" i="8" s="1"/>
  <c r="H7" i="8"/>
  <c r="G7" i="8"/>
  <c r="F7" i="8"/>
  <c r="J6" i="8"/>
  <c r="K6" i="8" s="1"/>
  <c r="H6" i="8"/>
  <c r="G6" i="8"/>
  <c r="F6" i="8"/>
  <c r="J5" i="8"/>
  <c r="K5" i="8" s="1"/>
  <c r="H5" i="8"/>
  <c r="G5" i="8"/>
  <c r="F5" i="8"/>
  <c r="J4" i="8"/>
  <c r="K4" i="8" s="1"/>
  <c r="H4" i="8"/>
  <c r="G4" i="8"/>
  <c r="F4" i="8"/>
  <c r="J3" i="8"/>
  <c r="K3" i="8" s="1"/>
  <c r="H3" i="8"/>
  <c r="G3" i="8"/>
  <c r="F3" i="8"/>
  <c r="J2" i="8"/>
  <c r="K2" i="8" s="1"/>
  <c r="H2" i="8"/>
  <c r="G2" i="8"/>
  <c r="F2" i="8"/>
  <c r="F2" i="1" a="1"/>
  <c r="F2" i="1" s="1"/>
  <c r="F135" i="1" l="1" a="1"/>
  <c r="F135" i="1" s="1"/>
  <c r="F385" i="1" a="1"/>
  <c r="F385" i="1" s="1"/>
  <c r="F132" i="1" a="1"/>
  <c r="F132" i="1" s="1"/>
  <c r="F224" i="1" a="1"/>
  <c r="F224" i="1" s="1"/>
  <c r="F144" i="1" a="1"/>
  <c r="F144" i="1" s="1"/>
  <c r="F384" i="1" a="1"/>
  <c r="F384" i="1" s="1"/>
  <c r="F196" i="1" a="1"/>
  <c r="F196" i="1" s="1"/>
  <c r="F200" i="1" a="1"/>
  <c r="F200" i="1" s="1"/>
  <c r="F376" i="8"/>
  <c r="G435" i="8"/>
  <c r="F55" i="8"/>
  <c r="F114" i="8"/>
  <c r="K325" i="8"/>
  <c r="K59" i="8"/>
  <c r="K60" i="8"/>
  <c r="F64" i="8"/>
  <c r="F107" i="8"/>
  <c r="K123" i="8"/>
  <c r="K159" i="8"/>
  <c r="K256" i="8"/>
  <c r="K288" i="8"/>
  <c r="G362" i="8"/>
  <c r="F423" i="8"/>
  <c r="K55" i="8"/>
  <c r="K57" i="8"/>
  <c r="K153" i="8"/>
  <c r="F281" i="8"/>
  <c r="K376" i="8"/>
  <c r="G422" i="8"/>
  <c r="K294" i="8"/>
  <c r="F109" i="8"/>
  <c r="K109" i="8"/>
  <c r="F120" i="8"/>
  <c r="F136" i="8"/>
  <c r="K144" i="8"/>
  <c r="K152" i="8"/>
  <c r="F307" i="8"/>
  <c r="K307" i="8"/>
  <c r="F373" i="8"/>
  <c r="F428" i="8"/>
  <c r="K431" i="8"/>
  <c r="G441" i="8"/>
  <c r="K146" i="8"/>
  <c r="K154" i="8"/>
  <c r="F54" i="8"/>
  <c r="K54" i="8"/>
  <c r="F56" i="8"/>
  <c r="K56" i="8"/>
  <c r="F61" i="8"/>
  <c r="F66" i="8"/>
  <c r="K66" i="8"/>
  <c r="K114" i="8"/>
  <c r="K149" i="8"/>
  <c r="K157" i="8"/>
  <c r="F283" i="8"/>
  <c r="F53" i="8"/>
  <c r="F58" i="8"/>
  <c r="K58" i="8"/>
  <c r="F60" i="8"/>
  <c r="F63" i="8"/>
  <c r="K63" i="8"/>
  <c r="F65" i="8"/>
  <c r="F108" i="8"/>
  <c r="K126" i="8"/>
  <c r="K147" i="8"/>
  <c r="K150" i="8"/>
  <c r="K155" i="8"/>
  <c r="K158" i="8"/>
  <c r="F257" i="8"/>
  <c r="F270" i="8"/>
  <c r="K270" i="8"/>
  <c r="K280" i="8"/>
  <c r="J282" i="8"/>
  <c r="K290" i="8"/>
  <c r="F295" i="8"/>
  <c r="J298" i="8"/>
  <c r="G325" i="8"/>
  <c r="G361" i="8"/>
  <c r="K362" i="8"/>
  <c r="F378" i="8"/>
  <c r="K378" i="8"/>
  <c r="K127" i="8"/>
  <c r="K148" i="8"/>
  <c r="K156" i="8"/>
  <c r="K257" i="8"/>
  <c r="F289" i="8"/>
  <c r="G424" i="8"/>
  <c r="J299" i="8"/>
  <c r="K299" i="8" s="1"/>
  <c r="F299" i="8"/>
  <c r="G377" i="8"/>
  <c r="F377" i="8"/>
  <c r="G286" i="8"/>
  <c r="J286" i="8"/>
  <c r="J291" i="8"/>
  <c r="F291" i="8"/>
  <c r="J293" i="8"/>
  <c r="K293" i="8" s="1"/>
  <c r="G379" i="8"/>
  <c r="F379" i="8"/>
  <c r="J420" i="8"/>
  <c r="J427" i="8"/>
  <c r="K427" i="8" s="1"/>
  <c r="J441" i="8"/>
  <c r="J444" i="8"/>
  <c r="K444" i="8" s="1"/>
  <c r="K373" i="8"/>
  <c r="K377" i="8"/>
  <c r="K379" i="8"/>
  <c r="G418" i="8"/>
  <c r="F419" i="8"/>
  <c r="F420" i="8"/>
  <c r="G433" i="8"/>
  <c r="J433" i="8"/>
  <c r="K433" i="8" s="1"/>
  <c r="J437" i="8"/>
  <c r="G439" i="8"/>
  <c r="F440" i="8"/>
  <c r="F441" i="8"/>
  <c r="G447" i="8"/>
  <c r="J449" i="8"/>
  <c r="J281" i="8"/>
  <c r="J285" i="8"/>
  <c r="F287" i="8"/>
  <c r="G294" i="8"/>
  <c r="J297" i="8"/>
  <c r="J428" i="8"/>
  <c r="K428" i="8" s="1"/>
  <c r="F432" i="8"/>
  <c r="F433" i="8"/>
  <c r="J445" i="8"/>
  <c r="K445" i="8" s="1"/>
  <c r="J289" i="8"/>
  <c r="K289" i="8" s="1"/>
  <c r="K122" i="8"/>
  <c r="K284" i="8"/>
  <c r="K286" i="8"/>
  <c r="G290" i="8"/>
  <c r="K291" i="8"/>
  <c r="F293" i="8"/>
  <c r="K296" i="8"/>
  <c r="F301" i="8"/>
  <c r="K367" i="8"/>
  <c r="K420" i="8"/>
  <c r="J424" i="8"/>
  <c r="K424" i="8" s="1"/>
  <c r="G426" i="8"/>
  <c r="F427" i="8"/>
  <c r="K441" i="8"/>
  <c r="F444" i="8"/>
  <c r="F445" i="8"/>
  <c r="G434" i="8"/>
  <c r="G103" i="8"/>
  <c r="G121" i="8"/>
  <c r="K287" i="8"/>
  <c r="K292" i="8"/>
  <c r="K300" i="8"/>
  <c r="D298" i="8"/>
  <c r="F298" i="8" s="1"/>
  <c r="D285" i="8"/>
  <c r="G101" i="8"/>
  <c r="F103" i="8"/>
  <c r="G120" i="8"/>
  <c r="F121" i="8"/>
  <c r="K166" i="8"/>
  <c r="F166" i="8"/>
  <c r="K168" i="8"/>
  <c r="F168" i="8"/>
  <c r="K170" i="8"/>
  <c r="F170" i="8"/>
  <c r="K172" i="8"/>
  <c r="F172" i="8"/>
  <c r="K174" i="8"/>
  <c r="F174" i="8"/>
  <c r="K176" i="8"/>
  <c r="F176" i="8"/>
  <c r="K178" i="8"/>
  <c r="F178" i="8"/>
  <c r="K180" i="8"/>
  <c r="F180" i="8"/>
  <c r="K182" i="8"/>
  <c r="D282" i="8"/>
  <c r="F282" i="8" s="1"/>
  <c r="F182" i="8"/>
  <c r="K184" i="8"/>
  <c r="F184" i="8"/>
  <c r="K186" i="8"/>
  <c r="F186" i="8"/>
  <c r="K188" i="8"/>
  <c r="F188" i="8"/>
  <c r="G123" i="8"/>
  <c r="K283" i="8"/>
  <c r="K295" i="8"/>
  <c r="D450" i="8"/>
  <c r="F450" i="8" s="1"/>
  <c r="D449" i="8"/>
  <c r="D437" i="8"/>
  <c r="D443" i="8"/>
  <c r="F443" i="8" s="1"/>
  <c r="D302" i="8"/>
  <c r="F302" i="8" s="1"/>
  <c r="G49" i="8"/>
  <c r="F49" i="8"/>
  <c r="D448" i="8"/>
  <c r="D297" i="8"/>
  <c r="G61" i="8"/>
  <c r="K103" i="8"/>
  <c r="G122" i="8"/>
  <c r="F123" i="8"/>
  <c r="K133" i="8"/>
  <c r="F133" i="8"/>
  <c r="K165" i="8"/>
  <c r="F165" i="8"/>
  <c r="K167" i="8"/>
  <c r="F167" i="8"/>
  <c r="K169" i="8"/>
  <c r="F169" i="8"/>
  <c r="K171" i="8"/>
  <c r="F171" i="8"/>
  <c r="K173" i="8"/>
  <c r="F173" i="8"/>
  <c r="K175" i="8"/>
  <c r="F175" i="8"/>
  <c r="K177" i="8"/>
  <c r="F177" i="8"/>
  <c r="D279" i="8"/>
  <c r="K179" i="8"/>
  <c r="F179" i="8"/>
  <c r="K181" i="8"/>
  <c r="F181" i="8"/>
  <c r="K183" i="8"/>
  <c r="F183" i="8"/>
  <c r="K185" i="8"/>
  <c r="F185" i="8"/>
  <c r="D446" i="8"/>
  <c r="K187" i="8"/>
  <c r="F187" i="8"/>
  <c r="K189" i="8"/>
  <c r="F189" i="8"/>
  <c r="G283" i="8"/>
  <c r="F286" i="8"/>
  <c r="G287" i="8"/>
  <c r="F290" i="8"/>
  <c r="G291" i="8"/>
  <c r="F294" i="8"/>
  <c r="G295" i="8"/>
  <c r="G299" i="8"/>
  <c r="J302" i="8"/>
  <c r="K326" i="8"/>
  <c r="K356" i="8"/>
  <c r="G360" i="8"/>
  <c r="K364" i="8"/>
  <c r="K371" i="8"/>
  <c r="G126" i="8"/>
  <c r="G127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280" i="8"/>
  <c r="K281" i="8"/>
  <c r="G284" i="8"/>
  <c r="G288" i="8"/>
  <c r="G292" i="8"/>
  <c r="G296" i="8"/>
  <c r="G300" i="8"/>
  <c r="K301" i="8"/>
  <c r="G356" i="8"/>
  <c r="G364" i="8"/>
  <c r="G368" i="8"/>
  <c r="G371" i="8"/>
  <c r="K135" i="8"/>
  <c r="K136" i="8"/>
  <c r="K137" i="8"/>
  <c r="F280" i="8"/>
  <c r="G281" i="8"/>
  <c r="F284" i="8"/>
  <c r="F288" i="8"/>
  <c r="G289" i="8"/>
  <c r="F292" i="8"/>
  <c r="G293" i="8"/>
  <c r="F296" i="8"/>
  <c r="F300" i="8"/>
  <c r="G301" i="8"/>
  <c r="G367" i="8"/>
  <c r="F368" i="8"/>
  <c r="K360" i="8"/>
  <c r="K366" i="8"/>
  <c r="G366" i="8"/>
  <c r="K418" i="8"/>
  <c r="G421" i="8"/>
  <c r="K422" i="8"/>
  <c r="G425" i="8"/>
  <c r="K426" i="8"/>
  <c r="K435" i="8"/>
  <c r="G438" i="8"/>
  <c r="K439" i="8"/>
  <c r="G442" i="8"/>
  <c r="K447" i="8"/>
  <c r="K419" i="8"/>
  <c r="F421" i="8"/>
  <c r="K423" i="8"/>
  <c r="F425" i="8"/>
  <c r="G431" i="8"/>
  <c r="K432" i="8"/>
  <c r="F434" i="8"/>
  <c r="K436" i="8"/>
  <c r="F438" i="8"/>
  <c r="K440" i="8"/>
  <c r="F442" i="8"/>
  <c r="F446" i="8"/>
  <c r="F418" i="8"/>
  <c r="G419" i="8"/>
  <c r="J421" i="8"/>
  <c r="K421" i="8" s="1"/>
  <c r="F422" i="8"/>
  <c r="G423" i="8"/>
  <c r="J425" i="8"/>
  <c r="K425" i="8" s="1"/>
  <c r="F426" i="8"/>
  <c r="G427" i="8"/>
  <c r="G432" i="8"/>
  <c r="J434" i="8"/>
  <c r="K434" i="8" s="1"/>
  <c r="F435" i="8"/>
  <c r="G436" i="8"/>
  <c r="J438" i="8"/>
  <c r="K438" i="8" s="1"/>
  <c r="F439" i="8"/>
  <c r="G440" i="8"/>
  <c r="J442" i="8"/>
  <c r="K442" i="8" s="1"/>
  <c r="G444" i="8"/>
  <c r="J446" i="8"/>
  <c r="F447" i="8"/>
  <c r="J450" i="8"/>
  <c r="K446" i="8" l="1"/>
  <c r="G446" i="8"/>
  <c r="G437" i="8"/>
  <c r="K437" i="8"/>
  <c r="F437" i="8"/>
  <c r="G298" i="8"/>
  <c r="K298" i="8"/>
  <c r="K279" i="8"/>
  <c r="F279" i="8"/>
  <c r="G279" i="8"/>
  <c r="G449" i="8"/>
  <c r="K449" i="8"/>
  <c r="F449" i="8"/>
  <c r="G282" i="8"/>
  <c r="K282" i="8"/>
  <c r="F297" i="8"/>
  <c r="G297" i="8"/>
  <c r="K297" i="8"/>
  <c r="G302" i="8"/>
  <c r="K302" i="8"/>
  <c r="K450" i="8"/>
  <c r="G450" i="8"/>
  <c r="F448" i="8"/>
  <c r="G448" i="8"/>
  <c r="K448" i="8"/>
  <c r="G443" i="8"/>
  <c r="K443" i="8"/>
  <c r="F285" i="8"/>
  <c r="G285" i="8"/>
  <c r="K285" i="8"/>
  <c r="F434" i="1" l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33" i="1" a="1"/>
  <c r="F433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398" i="1" a="1"/>
  <c r="F398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27" i="1" a="1"/>
  <c r="F327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283" i="1" a="1"/>
  <c r="F28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2" i="1" a="1"/>
  <c r="F222" i="1" s="1"/>
  <c r="F223" i="1" a="1"/>
  <c r="F223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3" i="1" a="1"/>
  <c r="F3" i="1" s="1"/>
</calcChain>
</file>

<file path=xl/comments1.xml><?xml version="1.0" encoding="utf-8"?>
<comments xmlns="http://schemas.openxmlformats.org/spreadsheetml/2006/main">
  <authors>
    <author>tc={02A99B86-328B-4046-9587-F2247901D511}</author>
    <author>tc={472756AF-7508-4FD3-84BC-A21B87749CAB}</author>
    <author>tc={749D2C1E-217D-4F5F-8872-69C6925CB36E}</author>
    <author>tc={19E3130A-229F-4FA8-852C-9D9E0C9D42BB}</author>
    <author>tc={FCE7AE10-EA2F-48A3-8E45-E2C759279E83}</author>
    <author>tc={4EEC0C29-B709-42FE-892C-86A4194A89B1}</author>
    <author>tc={8D61760A-6AC1-4BDA-9FC0-2F29B8E62143}</author>
    <author>tc={8E29A838-FF04-428F-AD37-A1D2FF23FED4}</author>
    <author>tc={C8060D91-CF9F-4331-9BEA-79C5CC945154}</author>
    <author>tc={DEB21CAE-9914-4325-B9E1-7C2EB8B116D4}</author>
  </authors>
  <commentList>
    <comment ref="D312" authorId="0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  <comment ref="D333" authorId="1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La Finca</t>
        </r>
      </text>
    </comment>
    <comment ref="D334" authorId="2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La Finca</t>
        </r>
      </text>
    </comment>
    <comment ref="D335" authorId="3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La Finca</t>
        </r>
      </text>
    </comment>
    <comment ref="D336" authorId="4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La Finca</t>
        </r>
      </text>
    </comment>
    <comment ref="D337" authorId="5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La Finca</t>
        </r>
      </text>
    </comment>
    <comment ref="D338" authorId="6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La Finca</t>
        </r>
      </text>
    </comment>
    <comment ref="D339" authorId="7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La Finca</t>
        </r>
      </text>
    </comment>
    <comment ref="D340" authorId="8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La Finca</t>
        </r>
      </text>
    </comment>
    <comment ref="D341" authorId="9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La Finca</t>
        </r>
      </text>
    </comment>
  </commentList>
</comments>
</file>

<file path=xl/comments2.xml><?xml version="1.0" encoding="utf-8"?>
<comments xmlns="http://schemas.openxmlformats.org/spreadsheetml/2006/main">
  <authors>
    <author>tc={2E8B658B-4050-45AD-8AD0-DCBDA67A1DD1}</author>
    <author>tc={BCB4024A-3D57-4859-9672-D8392F7C829E}</author>
    <author>tc={00A33C23-A42C-4D2B-8DC4-D9106F77F6AD}</author>
    <author>tc={7C1FFF53-66A8-452D-A090-523465A73906}</author>
    <author>tc={B493192D-4F4E-46BB-8D2F-F5E54288BE96}</author>
    <author>tc={4D6AF785-6428-4E2B-8CBE-FD314379D0FC}</author>
    <author>tc={0A1769C7-6322-4282-BFF3-81DB8AB33CFA}</author>
    <author>tc={919EA189-71D5-4B36-88B6-1F71B09F26F4}</author>
    <author>tc={19BA0329-ED41-4331-A955-E82F8AAE1802}</author>
    <author>tc={3E81526D-039E-48C1-88D0-0C345FF9FB8B}</author>
  </authors>
  <commentList>
    <comment ref="I292" authorId="0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  <comment ref="I313" authorId="1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  <comment ref="I314" authorId="2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  <comment ref="I315" authorId="3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  <comment ref="I316" authorId="4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  <comment ref="I317" authorId="5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  <comment ref="I318" authorId="6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  <comment ref="I319" authorId="7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  <comment ref="I320" authorId="8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  <comment ref="I321" authorId="9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Px Ligier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<sst xmlns="http://schemas.openxmlformats.org/spreadsheetml/2006/main" count="5172" uniqueCount="778">
  <si>
    <t>Categoría</t>
  </si>
  <si>
    <t>Tipo Producto</t>
  </si>
  <si>
    <t>Varietal</t>
  </si>
  <si>
    <t>Marca</t>
  </si>
  <si>
    <t>Rango Precios</t>
  </si>
  <si>
    <t>Descripción</t>
  </si>
  <si>
    <t>Unidad x Caja</t>
  </si>
  <si>
    <t>Px Compra Unidad</t>
  </si>
  <si>
    <t xml:space="preserve">Px Web Unidad </t>
  </si>
  <si>
    <t>Px Web Unidad Efectivo</t>
  </si>
  <si>
    <t>Vinos</t>
  </si>
  <si>
    <t>Tinto</t>
  </si>
  <si>
    <t>Cabernet Sauvignon</t>
  </si>
  <si>
    <t>Rutini Wines</t>
  </si>
  <si>
    <t>Trumpeter</t>
  </si>
  <si>
    <t>6x750</t>
  </si>
  <si>
    <t>$0 - $750</t>
  </si>
  <si>
    <t>Malbec</t>
  </si>
  <si>
    <t>Trumpeter Malbec</t>
  </si>
  <si>
    <t>Blanco</t>
  </si>
  <si>
    <t>Chardonnay</t>
  </si>
  <si>
    <t>Rutini</t>
  </si>
  <si>
    <t>Suavignon Blanc</t>
  </si>
  <si>
    <t>Blend</t>
  </si>
  <si>
    <t>Cabernet Franc</t>
  </si>
  <si>
    <t xml:space="preserve">Luigi Bosca </t>
  </si>
  <si>
    <t>La Linda</t>
  </si>
  <si>
    <t>La Linda Chardonnay</t>
  </si>
  <si>
    <t>Rosado</t>
  </si>
  <si>
    <t>La Linda Rosé</t>
  </si>
  <si>
    <t>La Linda Cab. Sauv.</t>
  </si>
  <si>
    <t>La Linda Malbec</t>
  </si>
  <si>
    <t>Luigi Bosca Varietales</t>
  </si>
  <si>
    <t>Luigi Bosca Rose is Rose</t>
  </si>
  <si>
    <t>Luigi Bosca Chardonnay</t>
  </si>
  <si>
    <t>Luigi Bosca Cabernet</t>
  </si>
  <si>
    <t>Luigi Bosca Malbec</t>
  </si>
  <si>
    <t>Pinot Noir</t>
  </si>
  <si>
    <t>Luigi Bosca Pinot Noir</t>
  </si>
  <si>
    <t>Luigi Bosca De Sangre</t>
  </si>
  <si>
    <t>Luigi Bosca de Sangre Blend</t>
  </si>
  <si>
    <t>Luigi Bosca de Sangre Malbec DOC</t>
  </si>
  <si>
    <t>Catena Zapata</t>
  </si>
  <si>
    <t xml:space="preserve">Nicasia </t>
  </si>
  <si>
    <t>Nicasia Blanc de Blancs</t>
  </si>
  <si>
    <t>Nicasia Cabernet Franc</t>
  </si>
  <si>
    <t>Nicasia Malbec</t>
  </si>
  <si>
    <t>Saint Felicien</t>
  </si>
  <si>
    <t>Saint Felicien Chardonnay</t>
  </si>
  <si>
    <t>Saint Felicien Cab. Sauv.</t>
  </si>
  <si>
    <t>Saint Felicien Cab. Franc</t>
  </si>
  <si>
    <t>Saint Felicien Malbec</t>
  </si>
  <si>
    <t>DV Catena</t>
  </si>
  <si>
    <t>DV Catena Chardonnay-Chardonnay</t>
  </si>
  <si>
    <t>DV Catena Cabernet-Malbec</t>
  </si>
  <si>
    <t>DV Catena Malbec-Malbec</t>
  </si>
  <si>
    <t>DV Catena Cabernet-Cabernet</t>
  </si>
  <si>
    <t>Angelica Zapata</t>
  </si>
  <si>
    <t>Angelica Zapata Chardonnay</t>
  </si>
  <si>
    <t>4x750</t>
  </si>
  <si>
    <t>Merlot</t>
  </si>
  <si>
    <t>Angelica Zapata Merlot</t>
  </si>
  <si>
    <t>Angelica Zapata Cabernet Sauvignon</t>
  </si>
  <si>
    <t>Angelica Zapata Cabernet Franc</t>
  </si>
  <si>
    <t>Angelica Zapata Malbec</t>
  </si>
  <si>
    <t>Enemigo Wines</t>
  </si>
  <si>
    <t>El Enemigo</t>
  </si>
  <si>
    <t>El Enemigo Chardonnay</t>
  </si>
  <si>
    <t>El Enemigo Cabernet franc</t>
  </si>
  <si>
    <t>El Enemigo Malbec</t>
  </si>
  <si>
    <t>Bonarda</t>
  </si>
  <si>
    <t>El Enemigo Bonarda</t>
  </si>
  <si>
    <t>El Gran Enemigo</t>
  </si>
  <si>
    <t>El Gran Enemigo Corte (Cab. Franc - Malb)</t>
  </si>
  <si>
    <t>El Gran Enemigo Agrelo</t>
  </si>
  <si>
    <t>El Gran Enemigo Chacayes</t>
  </si>
  <si>
    <t>El Gran Enemigo Cepillo</t>
  </si>
  <si>
    <t>El Gran Enemigo Gualtallary</t>
  </si>
  <si>
    <t>Nicolas Catena</t>
  </si>
  <si>
    <t>1x750</t>
  </si>
  <si>
    <t>Malbec Argentino</t>
  </si>
  <si>
    <t>Catena Zapata Malbec Argentino</t>
  </si>
  <si>
    <t>Chandon</t>
  </si>
  <si>
    <t>Cheval Des Andes</t>
  </si>
  <si>
    <t>Cheval Des Andes 2017</t>
  </si>
  <si>
    <t>Ernesto Catena</t>
  </si>
  <si>
    <t>Alma Negra</t>
  </si>
  <si>
    <t>Alma Negra Blend</t>
  </si>
  <si>
    <t>Siesta</t>
  </si>
  <si>
    <t>Siesta Malbec</t>
  </si>
  <si>
    <t>Laura Catena</t>
  </si>
  <si>
    <t>Domaine Nico</t>
  </si>
  <si>
    <t>Domaine Nico Parcela Grand Pére</t>
  </si>
  <si>
    <t>Domaine Nico Parcela Grand Mére</t>
  </si>
  <si>
    <t>Domaine Nico Parcela Histoire D´A</t>
  </si>
  <si>
    <t>Domaine Nico Parcela La Savante</t>
  </si>
  <si>
    <t>Caro</t>
  </si>
  <si>
    <t xml:space="preserve">Caro </t>
  </si>
  <si>
    <t>Petit Caro</t>
  </si>
  <si>
    <t>Aruma</t>
  </si>
  <si>
    <t>Aruma Malbec</t>
  </si>
  <si>
    <t>Luca</t>
  </si>
  <si>
    <t>Nico By Luca</t>
  </si>
  <si>
    <t>3x750</t>
  </si>
  <si>
    <t>Luca Beso de Dante</t>
  </si>
  <si>
    <t>Luca Old Malbec</t>
  </si>
  <si>
    <t>Luca Old Pinot Noir</t>
  </si>
  <si>
    <t>Syrah</t>
  </si>
  <si>
    <t>Luca Old Syrah</t>
  </si>
  <si>
    <t>Luca Old Chardonnay</t>
  </si>
  <si>
    <t>Nicola Catena</t>
  </si>
  <si>
    <t>Nicola Catena Bonarda</t>
  </si>
  <si>
    <t>Viña Cobos</t>
  </si>
  <si>
    <t>Felino</t>
  </si>
  <si>
    <t>Felino Malbec</t>
  </si>
  <si>
    <t>Cocodrilo</t>
  </si>
  <si>
    <t>Cocodrilo Blend</t>
  </si>
  <si>
    <t>Bramare</t>
  </si>
  <si>
    <t>Bramare Lujan de Cuyo Malbec</t>
  </si>
  <si>
    <t>Bramare Valle de Uco Malbec</t>
  </si>
  <si>
    <t>Escorihuela Gascón</t>
  </si>
  <si>
    <t>Pequeñas Producciones</t>
  </si>
  <si>
    <t>Pequeñas Producciones Malbec</t>
  </si>
  <si>
    <t>Pequeñas Producciones Cab. Sauv,</t>
  </si>
  <si>
    <t>Pequeñas Producciones Cab. Franc</t>
  </si>
  <si>
    <t>Zuccardi</t>
  </si>
  <si>
    <t>Zuccardi Q</t>
  </si>
  <si>
    <t>Zuccardi Q Cabernet Sauvignon</t>
  </si>
  <si>
    <t>Zuccardi Q Cabernet Franc</t>
  </si>
  <si>
    <t>Zuccardi Q Malbec</t>
  </si>
  <si>
    <t>Tempranillo</t>
  </si>
  <si>
    <t>Zuccardi Q Tempranillo</t>
  </si>
  <si>
    <t>Concreto</t>
  </si>
  <si>
    <t>Zuccardi Concreto</t>
  </si>
  <si>
    <t>Poligonos</t>
  </si>
  <si>
    <t>Poligonos Paraje Altamira Cab. Franc</t>
  </si>
  <si>
    <t>Poligonos Paraje Altamira Malbec</t>
  </si>
  <si>
    <t>Poligonos Paraje San Pablo Cab. Franc</t>
  </si>
  <si>
    <t>Poligonos Paraje San Pablo Malbec</t>
  </si>
  <si>
    <t>Sophenia</t>
  </si>
  <si>
    <t>Sophenia Reserva</t>
  </si>
  <si>
    <t>Finca Sophenia Reserva Cab. Sauv</t>
  </si>
  <si>
    <t>Finca Sophenia Reserva Cab. Franc</t>
  </si>
  <si>
    <t>Finca Sophenia Reserva Malbec</t>
  </si>
  <si>
    <t>Antisynthesis</t>
  </si>
  <si>
    <t>Finca Sophenia Antisynthesis</t>
  </si>
  <si>
    <t>Synthesis</t>
  </si>
  <si>
    <t>Finca Sophenia Synthesis Malbec</t>
  </si>
  <si>
    <t>Finca Sophenia Synthesis Blend</t>
  </si>
  <si>
    <t>Lagarde</t>
  </si>
  <si>
    <t>Lagarde Organic</t>
  </si>
  <si>
    <t>Lagarde Organic Rosé</t>
  </si>
  <si>
    <t>Lagarde Organic Malbec</t>
  </si>
  <si>
    <t>Lagarde Guarda</t>
  </si>
  <si>
    <t xml:space="preserve">Lagarde Guarda Cab. Franc </t>
  </si>
  <si>
    <t>Lagarde Guarda Malbec DOC</t>
  </si>
  <si>
    <t>Colomé</t>
  </si>
  <si>
    <t>Colomé Estate</t>
  </si>
  <si>
    <t>Colomé Estate Malbec</t>
  </si>
  <si>
    <t>Colomé Lote Especial</t>
  </si>
  <si>
    <t>Colomé Lote Especial Syrah</t>
  </si>
  <si>
    <t>Tannat</t>
  </si>
  <si>
    <t>Colomé Lote Especial Tannat</t>
  </si>
  <si>
    <t>El Porvenir</t>
  </si>
  <si>
    <t>Laborum</t>
  </si>
  <si>
    <t>Laborum Malbec</t>
  </si>
  <si>
    <t>Laborum Tannat</t>
  </si>
  <si>
    <t>Laborum Parcela</t>
  </si>
  <si>
    <t>Laborum Parcela Malbec - Finca Río Seco</t>
  </si>
  <si>
    <t>Clos</t>
  </si>
  <si>
    <t>Clos de los 7</t>
  </si>
  <si>
    <t>Torrontés</t>
  </si>
  <si>
    <t>Yacochuya</t>
  </si>
  <si>
    <t>San Pedro Yacochuya</t>
  </si>
  <si>
    <t>San Pedro Yacochuya Torrontés</t>
  </si>
  <si>
    <t>San Pedro Yacochuya Tinto</t>
  </si>
  <si>
    <t>Yacochuya Malbec</t>
  </si>
  <si>
    <t>Mosquita Wines</t>
  </si>
  <si>
    <t>Mosquita Muerta</t>
  </si>
  <si>
    <t xml:space="preserve">Mosquita Muerta </t>
  </si>
  <si>
    <t>Sapo de Otro Pozo</t>
  </si>
  <si>
    <t>Sapo de otro pozo</t>
  </si>
  <si>
    <t>Pispi</t>
  </si>
  <si>
    <t>Bressia</t>
  </si>
  <si>
    <t>Monteagrelo</t>
  </si>
  <si>
    <t>Monteagrelo Cab. Sauv.</t>
  </si>
  <si>
    <t>Monteagrelo Cab. Franc</t>
  </si>
  <si>
    <t>Monteagrelo Malbec</t>
  </si>
  <si>
    <t>Lagrima Canela</t>
  </si>
  <si>
    <t>Bressia Lagrima Canela</t>
  </si>
  <si>
    <t>Profundo</t>
  </si>
  <si>
    <t>Bressia Profundo</t>
  </si>
  <si>
    <t>Piel Negra</t>
  </si>
  <si>
    <t>Bressia Piel Negra</t>
  </si>
  <si>
    <t>Conjuro</t>
  </si>
  <si>
    <t>Bressia Conjuro</t>
  </si>
  <si>
    <t>Angelo Mattei</t>
  </si>
  <si>
    <t>Angelo Mattei Malbec</t>
  </si>
  <si>
    <t>Marchiori &amp; Barraud</t>
  </si>
  <si>
    <t>Marchiori &amp; Barraud Malbec</t>
  </si>
  <si>
    <t>Marchiori &amp; Barraud Cab. Sauv.</t>
  </si>
  <si>
    <t>Marchiori &amp; Barraud Chardonnay</t>
  </si>
  <si>
    <t>Marchiori &amp; Barraud Cuartel</t>
  </si>
  <si>
    <t>Marchiori &amp; Barraud Cuartel 2 Malbec</t>
  </si>
  <si>
    <t>Marchiori &amp; Barraud Hornero</t>
  </si>
  <si>
    <t>Tapiz</t>
  </si>
  <si>
    <t>Tapiz Orgánico</t>
  </si>
  <si>
    <t>Tapiz Orgánico Chardonnay</t>
  </si>
  <si>
    <t>Tapiz Orgánico Malbec</t>
  </si>
  <si>
    <t>Tapiz Alta Collection</t>
  </si>
  <si>
    <t>Tapiz Alta Collection Malbec</t>
  </si>
  <si>
    <t>Tapiz Alta Collection Cab. Sauv.</t>
  </si>
  <si>
    <t>Tapiz Selección de Barricas</t>
  </si>
  <si>
    <t>Tapiz Gran Rva. Selección de Barrica 2015</t>
  </si>
  <si>
    <t>Tapiz Black Tears</t>
  </si>
  <si>
    <t>Tapiz Gran Rva. Black Tears 2014</t>
  </si>
  <si>
    <t>Las Notas de Jean Claude</t>
  </si>
  <si>
    <t>Achaval Ferrer</t>
  </si>
  <si>
    <t>Mendoza</t>
  </si>
  <si>
    <t xml:space="preserve">Achaval Ferrer Malbec </t>
  </si>
  <si>
    <t>Achaval Ferrer Cab. Sauv.</t>
  </si>
  <si>
    <t>Achaval Ferrer Cab. Franc</t>
  </si>
  <si>
    <t>Quimera</t>
  </si>
  <si>
    <t>Achaval Ferrer Quimera</t>
  </si>
  <si>
    <t>Achaval Ferrer Fincas</t>
  </si>
  <si>
    <t>Achaval Ferrer Finca Altamira</t>
  </si>
  <si>
    <t>Achaval Ferrer Finca Mirador</t>
  </si>
  <si>
    <t>Achaval Ferrer Finca Bella Vista</t>
  </si>
  <si>
    <t>Sottano/Vicentin</t>
  </si>
  <si>
    <t>Indomable</t>
  </si>
  <si>
    <t>Indomable Blanc de Malbec</t>
  </si>
  <si>
    <t xml:space="preserve">Indomable Blend de Malbec </t>
  </si>
  <si>
    <t>Barrabas</t>
  </si>
  <si>
    <t>Barrabas Cab. Franc</t>
  </si>
  <si>
    <t>Colosso</t>
  </si>
  <si>
    <t xml:space="preserve">Colosso Malbec </t>
  </si>
  <si>
    <t>Maldito</t>
  </si>
  <si>
    <t>Arrogante</t>
  </si>
  <si>
    <t>Arrogante Malbec</t>
  </si>
  <si>
    <t>Arrogante Syrah</t>
  </si>
  <si>
    <t>Judas</t>
  </si>
  <si>
    <t>Judas Malbec</t>
  </si>
  <si>
    <t>Judas Blend</t>
  </si>
  <si>
    <t>Salentein</t>
  </si>
  <si>
    <t>Salentein Rva.</t>
  </si>
  <si>
    <t>Salentein Reserva Cab. Sauv.</t>
  </si>
  <si>
    <t>Salentein Reserva Malbec</t>
  </si>
  <si>
    <t>Numina</t>
  </si>
  <si>
    <t>Numina Malbec</t>
  </si>
  <si>
    <t>Numina Gran Corte</t>
  </si>
  <si>
    <t>Primus</t>
  </si>
  <si>
    <t>Primus Malbec</t>
  </si>
  <si>
    <t>Durigutti</t>
  </si>
  <si>
    <t>Durigutti clásico</t>
  </si>
  <si>
    <t>Durigutti Malbec</t>
  </si>
  <si>
    <t>Durigutti Cab. Franc</t>
  </si>
  <si>
    <t>Durigutti Cab. Sauv.</t>
  </si>
  <si>
    <t>Durigutti Rva.</t>
  </si>
  <si>
    <t>Durigutti Reserva Malbec</t>
  </si>
  <si>
    <t>Durigutti Reserva Cab. Sauv.</t>
  </si>
  <si>
    <t>Durigutti Reserva Cab. Franc</t>
  </si>
  <si>
    <t>Durigutti Reserva Corte Único</t>
  </si>
  <si>
    <t>Carmela</t>
  </si>
  <si>
    <t>Carmela Durigutti Malbec</t>
  </si>
  <si>
    <t>Carmela Rva.</t>
  </si>
  <si>
    <t>Carmela Durigutti Reserva Malbec</t>
  </si>
  <si>
    <t>Criolla</t>
  </si>
  <si>
    <t>Proyecto las Compuertas</t>
  </si>
  <si>
    <t>Proyecto las compuertas Criolla Parral</t>
  </si>
  <si>
    <t>Cordisco</t>
  </si>
  <si>
    <t>Proyecto las compuertas Cordisco</t>
  </si>
  <si>
    <t>Proyecto las compuertas Malbec 5 suelos</t>
  </si>
  <si>
    <t>Proyecto las compuertas Cab. Franc</t>
  </si>
  <si>
    <t>Proyecto las compuertas Malbec 1914</t>
  </si>
  <si>
    <t>Pascual Toso</t>
  </si>
  <si>
    <t>Pascual Toso Estate</t>
  </si>
  <si>
    <t>Pascual Toso Estate Malbec</t>
  </si>
  <si>
    <t>Pascual Toso Estate Cab. Sauv.</t>
  </si>
  <si>
    <t>Barrancas</t>
  </si>
  <si>
    <t>Pascual Toso Barrancas Blend</t>
  </si>
  <si>
    <t>Pascual Toso Barrancas Rosé</t>
  </si>
  <si>
    <t>Pascual Toso Rva.</t>
  </si>
  <si>
    <t>Pascual Toso Reserva Malbec</t>
  </si>
  <si>
    <t>Pascual Toso Reserva Cab. Sauv.</t>
  </si>
  <si>
    <t>Pascual Toso Alta</t>
  </si>
  <si>
    <t>Pascual Toso Alta Syrah</t>
  </si>
  <si>
    <t>Pascual Toso Alta Malbec</t>
  </si>
  <si>
    <t>Pascual Toso Alta Cab. Sauv.</t>
  </si>
  <si>
    <t>Finca Pedegral</t>
  </si>
  <si>
    <t>Finca Pedregal</t>
  </si>
  <si>
    <t>Magdalena</t>
  </si>
  <si>
    <t>Magdalena Toso by Paul Hobbs</t>
  </si>
  <si>
    <t>Pascual Toso 125 años</t>
  </si>
  <si>
    <t>Pascual Toso 125 años Red Blend x1500ml</t>
  </si>
  <si>
    <t>1x1500</t>
  </si>
  <si>
    <t>Trapiche</t>
  </si>
  <si>
    <t>Iscay</t>
  </si>
  <si>
    <t>Iscay Malbec - Cabernet Franc</t>
  </si>
  <si>
    <t>Iscay Syrah / Viognier</t>
  </si>
  <si>
    <t>Trapiche Terroir Series</t>
  </si>
  <si>
    <t xml:space="preserve">Trapiche Terroir Series Ambrosia </t>
  </si>
  <si>
    <t>Trapiche Terroir Series F. Coletto</t>
  </si>
  <si>
    <t>Gran Medalla</t>
  </si>
  <si>
    <t>Gran Medalla Malbec</t>
  </si>
  <si>
    <t>Gran Medalla Cab. Franc</t>
  </si>
  <si>
    <t>Gran Medalla Cab. Sauv.</t>
  </si>
  <si>
    <t>Medalla</t>
  </si>
  <si>
    <t>Medalla Blend</t>
  </si>
  <si>
    <t>Medalla Malbec</t>
  </si>
  <si>
    <t>Medalla Cab. Sauv.</t>
  </si>
  <si>
    <t>Fond de Cave Gran Rva.</t>
  </si>
  <si>
    <t>Fond de Cave Gran Reserva Cab. Sauv.</t>
  </si>
  <si>
    <t>Fond de Cave Gran Reserva Malbec</t>
  </si>
  <si>
    <t xml:space="preserve">Fond de Cave Gran Reserva Blend </t>
  </si>
  <si>
    <t>Costa &amp; Pampa</t>
  </si>
  <si>
    <t>Costa &amp; Pampa Pinot Noir</t>
  </si>
  <si>
    <t>Costa &amp; Pampa S. Blanc</t>
  </si>
  <si>
    <t>Costa &amp; Pampa Chardonnay</t>
  </si>
  <si>
    <t>Finca Las Moras</t>
  </si>
  <si>
    <t>Sagrado</t>
  </si>
  <si>
    <t>Sagrado El Pedernal Malbec</t>
  </si>
  <si>
    <t>Mora Negra</t>
  </si>
  <si>
    <t>Gran Syrah</t>
  </si>
  <si>
    <t>Demencial</t>
  </si>
  <si>
    <t>Demencial Pinot Noir</t>
  </si>
  <si>
    <t>Demencial Blanc de Blanc</t>
  </si>
  <si>
    <t>El Esteco</t>
  </si>
  <si>
    <t>Altimus</t>
  </si>
  <si>
    <t xml:space="preserve">Altimus </t>
  </si>
  <si>
    <t>Chañar Punco</t>
  </si>
  <si>
    <t xml:space="preserve">Chañar Punco </t>
  </si>
  <si>
    <t>Finca Notables</t>
  </si>
  <si>
    <t>Fincas Notables Cabernet Sauvignon</t>
  </si>
  <si>
    <t>Fincas Notables Cabernet Franc</t>
  </si>
  <si>
    <t>Fincas Notables Malbec</t>
  </si>
  <si>
    <t>Old Vines</t>
  </si>
  <si>
    <t>El Esteco Old Vines Malbec</t>
  </si>
  <si>
    <t>El Esteco Old Vines Cab. Sauv.</t>
  </si>
  <si>
    <t>El Esteco Old Vines Torrontes</t>
  </si>
  <si>
    <t>El Esteco Malbec</t>
  </si>
  <si>
    <t xml:space="preserve">El Esteco Cabernet Sauv </t>
  </si>
  <si>
    <t>El Esteco Blanc de Blancs</t>
  </si>
  <si>
    <t>El Esteco Blanc de Noir</t>
  </si>
  <si>
    <t>Navarro Correas</t>
  </si>
  <si>
    <t>Juan De Dios</t>
  </si>
  <si>
    <t>Structura</t>
  </si>
  <si>
    <t>Selección del Enólogo</t>
  </si>
  <si>
    <t>Alegoría</t>
  </si>
  <si>
    <t>Alegoria Gran Reserva Cab. Sauv.</t>
  </si>
  <si>
    <t>Alegoria Gran Reserva Malbec</t>
  </si>
  <si>
    <t>La Mascota</t>
  </si>
  <si>
    <t>La Mascota Malbec</t>
  </si>
  <si>
    <t>La Mascota Cab. Sauv.</t>
  </si>
  <si>
    <t>La Mascota Chardonnay</t>
  </si>
  <si>
    <t>Espumantes</t>
  </si>
  <si>
    <t>La Mascota Rosé</t>
  </si>
  <si>
    <t>Gran Mascota</t>
  </si>
  <si>
    <t>Gran Mascota Malbec</t>
  </si>
  <si>
    <t>Gran Mascota Cab.Sauv.</t>
  </si>
  <si>
    <t>Unanime</t>
  </si>
  <si>
    <t>Unanime Tinto</t>
  </si>
  <si>
    <t>Bemberg Estate Wines</t>
  </si>
  <si>
    <t>La Linterna</t>
  </si>
  <si>
    <t>La Linterna Malbec Gualtallary 2013 estuche x1</t>
  </si>
  <si>
    <t>La Mascota Sparkling</t>
  </si>
  <si>
    <t>La Mascota Sparkling Rosé</t>
  </si>
  <si>
    <t>Claroscuro</t>
  </si>
  <si>
    <t>Claroscuro Chardonnay</t>
  </si>
  <si>
    <t>Claroscuro Malbec</t>
  </si>
  <si>
    <t>Claroscuro Cabernet Franc</t>
  </si>
  <si>
    <t>Claroscuro Tintas de Uco</t>
  </si>
  <si>
    <t>Claroscuro Gran Pinot Noir</t>
  </si>
  <si>
    <t>Claroscuro Gran Malbec</t>
  </si>
  <si>
    <t>Claroscuro Extra Brut</t>
  </si>
  <si>
    <t>Sottano</t>
  </si>
  <si>
    <t>Espumante Sottano Rosé Brut</t>
  </si>
  <si>
    <t>Baron B</t>
  </si>
  <si>
    <t>Rosell Boher</t>
  </si>
  <si>
    <t xml:space="preserve">Rosell Boher Brut   </t>
  </si>
  <si>
    <t>Rosell Boher Brut Rosé</t>
  </si>
  <si>
    <t>Dom Perignon</t>
  </si>
  <si>
    <t>Dom Perignon Blanc 2010</t>
  </si>
  <si>
    <t>Veuve Cliquot</t>
  </si>
  <si>
    <t>Champagne Veuve Clicquot Brut Yellow Label</t>
  </si>
  <si>
    <t>Champagne Veuve Clicquot Rosé</t>
  </si>
  <si>
    <t>Champagne Veuve Clicquot Magnetic Message</t>
  </si>
  <si>
    <t>Champagne Veuve Clicquot Pencil Brut</t>
  </si>
  <si>
    <t>Champagne Veuve Clicquot Gouache Brut</t>
  </si>
  <si>
    <t>Moët Chandon</t>
  </si>
  <si>
    <t>Champagne Moët &amp; Chandon Brut Impérial</t>
  </si>
  <si>
    <t>Champagne Moët &amp; Chandon Impérial Rosé</t>
  </si>
  <si>
    <t>Spirits</t>
  </si>
  <si>
    <t>Gin</t>
  </si>
  <si>
    <t>N/A</t>
  </si>
  <si>
    <t>Beefeater</t>
  </si>
  <si>
    <t>Beefeater 700ml</t>
  </si>
  <si>
    <t>1x700</t>
  </si>
  <si>
    <t>Beefeater 1000ml</t>
  </si>
  <si>
    <t>1x1000</t>
  </si>
  <si>
    <t>Beefeater Pink</t>
  </si>
  <si>
    <t>Tanqueray</t>
  </si>
  <si>
    <t>Tanqueray Sevilla</t>
  </si>
  <si>
    <t>Bulldog</t>
  </si>
  <si>
    <t>Bulldog x750ml</t>
  </si>
  <si>
    <t>Bombay Saphire</t>
  </si>
  <si>
    <t>Le Tribute</t>
  </si>
  <si>
    <t>Gin Le Tribute x700ml</t>
  </si>
  <si>
    <t>Hendrick´s</t>
  </si>
  <si>
    <t>Hendrick´s x700ml</t>
  </si>
  <si>
    <t>Monkey 47</t>
  </si>
  <si>
    <t>Monkey 47 Dry x500ml</t>
  </si>
  <si>
    <t>1x500</t>
  </si>
  <si>
    <t>Gin Mare</t>
  </si>
  <si>
    <t>Gin Mare con Farol</t>
  </si>
  <si>
    <t>Licor</t>
  </si>
  <si>
    <t>Baileys</t>
  </si>
  <si>
    <t>Baileys x750ml</t>
  </si>
  <si>
    <t>Baileys Salted Caramel x750ml</t>
  </si>
  <si>
    <t>Amarula</t>
  </si>
  <si>
    <t>Amarula x750ml</t>
  </si>
  <si>
    <t>Jägermeister</t>
  </si>
  <si>
    <t>Jägermeister x700ml</t>
  </si>
  <si>
    <t>Sheridans</t>
  </si>
  <si>
    <t>Ron</t>
  </si>
  <si>
    <t>Havana</t>
  </si>
  <si>
    <t>Havana Club 7 años</t>
  </si>
  <si>
    <t>Havana Club Selección de Maestros</t>
  </si>
  <si>
    <t>Zacapa</t>
  </si>
  <si>
    <t>Zacapa Ambar 12 años</t>
  </si>
  <si>
    <t>Zacapa Centenario 23 años</t>
  </si>
  <si>
    <t>Zacapa Centenario XO</t>
  </si>
  <si>
    <t>Tequila</t>
  </si>
  <si>
    <t>Don Julio</t>
  </si>
  <si>
    <t>Don Julio Añejo x750ml</t>
  </si>
  <si>
    <t>Don Julio Reposado x750ml</t>
  </si>
  <si>
    <t>Vodka</t>
  </si>
  <si>
    <t>Smirnoff</t>
  </si>
  <si>
    <t>Smirnoff 21</t>
  </si>
  <si>
    <t>Smirnoff Raspberry</t>
  </si>
  <si>
    <t>Smirnoff Watermelon</t>
  </si>
  <si>
    <t>Smirnoff Green Apple</t>
  </si>
  <si>
    <t>Smirnoff Bitter Citric</t>
  </si>
  <si>
    <t>Smirnoff Citrus</t>
  </si>
  <si>
    <t>Absolut</t>
  </si>
  <si>
    <t>Absolut x750ml</t>
  </si>
  <si>
    <t>Absolut Raspberry x750ml</t>
  </si>
  <si>
    <t>Absolut Mango x750ml</t>
  </si>
  <si>
    <t>Absolut Grapefruit x750ml</t>
  </si>
  <si>
    <t>Absolut Apple x750ml</t>
  </si>
  <si>
    <t>Absolut Apeach x750ml</t>
  </si>
  <si>
    <t>Absolut Pears x750ml</t>
  </si>
  <si>
    <t>Absolut Extrakt x750ml</t>
  </si>
  <si>
    <t>Ketel One</t>
  </si>
  <si>
    <t>Ketel One x750ml</t>
  </si>
  <si>
    <t>Grey Groose</t>
  </si>
  <si>
    <t>Grey Groose x750ml</t>
  </si>
  <si>
    <t>Cogñac</t>
  </si>
  <si>
    <t>Hennesy</t>
  </si>
  <si>
    <t>Hennessy VS</t>
  </si>
  <si>
    <t>Hennessy VSOP</t>
  </si>
  <si>
    <t>Hennessy XO</t>
  </si>
  <si>
    <t>Whisky</t>
  </si>
  <si>
    <t>J&amp;B</t>
  </si>
  <si>
    <t>J&amp;B 750ml</t>
  </si>
  <si>
    <t>Jameson</t>
  </si>
  <si>
    <t>Jameson x750ml</t>
  </si>
  <si>
    <t>Jameson Caskmates Stout</t>
  </si>
  <si>
    <t>Jameson Caskmates Ipa</t>
  </si>
  <si>
    <t>Jameson Black Barrel</t>
  </si>
  <si>
    <t>Old Parr</t>
  </si>
  <si>
    <t>Buchanan´s</t>
  </si>
  <si>
    <t>Buchanan´s Deluxe 12 años</t>
  </si>
  <si>
    <t>Bulleit</t>
  </si>
  <si>
    <t xml:space="preserve">Bulleit </t>
  </si>
  <si>
    <t>Jack Daniel´s</t>
  </si>
  <si>
    <t>Jack Daniel's N°7 x750ml</t>
  </si>
  <si>
    <t>Jack Daniel's Honey x750ml</t>
  </si>
  <si>
    <t>Maker´s Mark</t>
  </si>
  <si>
    <t>Jhonnie Walker</t>
  </si>
  <si>
    <t>J. Walker Red Label x750ml</t>
  </si>
  <si>
    <t>J. Walker Red Label x1000ml</t>
  </si>
  <si>
    <t>J. Walker Red Label ICON (Edición 200 años)</t>
  </si>
  <si>
    <t>J. Walker Red Lata x750ml (Edición Especial)</t>
  </si>
  <si>
    <t>J. Walker Black Label x750ml</t>
  </si>
  <si>
    <t>J. Walker Black Label x1000ml</t>
  </si>
  <si>
    <t>J. Walker Black Label ICON (Edición 200 años)</t>
  </si>
  <si>
    <t>J. Walker Black Label + Vasos (Special Edition)</t>
  </si>
  <si>
    <t>J. Walker Black Lata x750ml (Edición Especial)</t>
  </si>
  <si>
    <t>J. Walker Double Black</t>
  </si>
  <si>
    <t>J. Walker Double Black Label + Vasos (Special Edition)</t>
  </si>
  <si>
    <t>J. Walker Gold Label</t>
  </si>
  <si>
    <t>J. Walker Gold Label ICON (Edición 200 años)</t>
  </si>
  <si>
    <t>J. Walker Gold Label Bullion IV (Special Edition)</t>
  </si>
  <si>
    <t>J. Walker Gold Label + Vasos (Special Edition)</t>
  </si>
  <si>
    <t>J. Walker Swing</t>
  </si>
  <si>
    <t>J. Walker Green Label</t>
  </si>
  <si>
    <t>J. Walker Green Label + Vasos (Special Edition)</t>
  </si>
  <si>
    <t>J. Walker 18 Años</t>
  </si>
  <si>
    <t>J. Walker 18 Años + Vasos (Special Edition)</t>
  </si>
  <si>
    <t>J. Walker XR 21</t>
  </si>
  <si>
    <t>J. Walker Blue Label</t>
  </si>
  <si>
    <t>J. Walker Blue Buenos Aires (Special Edition)</t>
  </si>
  <si>
    <t>J. Walker Blue Label + Vasos (Special Edition)</t>
  </si>
  <si>
    <t>J. Walker Blue Ghost &amp; Rare</t>
  </si>
  <si>
    <t>Chivas</t>
  </si>
  <si>
    <t>Chivas 12 años x750ml</t>
  </si>
  <si>
    <t>Chivas 12 años x1000ml</t>
  </si>
  <si>
    <t>Chivas 15 años x750ml</t>
  </si>
  <si>
    <t>Chivas Extra 13 años</t>
  </si>
  <si>
    <t>Chivas Mizunara</t>
  </si>
  <si>
    <t>Chivas 18 años x750ml</t>
  </si>
  <si>
    <t>Royal Salute 21 años</t>
  </si>
  <si>
    <t>Singlemalt</t>
  </si>
  <si>
    <t>Aberlour</t>
  </si>
  <si>
    <t>Aberlour 12 años</t>
  </si>
  <si>
    <t>The Glenlivet</t>
  </si>
  <si>
    <t>The Glenlivet Founder Reserve</t>
  </si>
  <si>
    <t>The Glenlivet 12 años</t>
  </si>
  <si>
    <t>The Glenlivet 15 años</t>
  </si>
  <si>
    <t>The Glenlivet 18 años</t>
  </si>
  <si>
    <t>The Glenrothes</t>
  </si>
  <si>
    <t>The Glenrothes 10 años</t>
  </si>
  <si>
    <t>The Glenrothes 12 años</t>
  </si>
  <si>
    <t>Glenfiddich</t>
  </si>
  <si>
    <t>Glenfiddich 12 años</t>
  </si>
  <si>
    <t>Glenfiddich 15 años</t>
  </si>
  <si>
    <t>Glenfiddich 18 años</t>
  </si>
  <si>
    <t>Glenfiddich Explorer´s Collection (estuche 12, 15 y 18 años)</t>
  </si>
  <si>
    <t>3x200</t>
  </si>
  <si>
    <t>Scapa</t>
  </si>
  <si>
    <t xml:space="preserve">Scapa Skiren </t>
  </si>
  <si>
    <t>Glenmorangie</t>
  </si>
  <si>
    <t>Glenmorangie The Original x750ml</t>
  </si>
  <si>
    <t>Macallan</t>
  </si>
  <si>
    <t>Longmorn</t>
  </si>
  <si>
    <t>Longmorn The destiller´s choice</t>
  </si>
  <si>
    <t>Singleton</t>
  </si>
  <si>
    <t>Singleton 12 años</t>
  </si>
  <si>
    <t>Singleton 15 años</t>
  </si>
  <si>
    <t>Singleton 18 años</t>
  </si>
  <si>
    <t>Talisker</t>
  </si>
  <si>
    <t>Talisker 10 años</t>
  </si>
  <si>
    <t>Cardhu</t>
  </si>
  <si>
    <t>Cardhu 12 años</t>
  </si>
  <si>
    <t>Caol Ila</t>
  </si>
  <si>
    <t>Caol Ila 12 años</t>
  </si>
  <si>
    <t>Cragganmore</t>
  </si>
  <si>
    <t>Cragganmore 12 años</t>
  </si>
  <si>
    <t>Glen Elguin</t>
  </si>
  <si>
    <t>Glen Elguin 12 años</t>
  </si>
  <si>
    <t>Glenkinchie</t>
  </si>
  <si>
    <t>Glenkinchie 12 años</t>
  </si>
  <si>
    <t>Clynelish</t>
  </si>
  <si>
    <t>Clynelish 14 años</t>
  </si>
  <si>
    <t>Combos</t>
  </si>
  <si>
    <t>Mix Mendoza (Trumpeter CS, Nicasia CF, La Linda M, Sophenia Rva M, P. Toso Estate Malbec, Claroscuro M)</t>
  </si>
  <si>
    <t>Combo 6 bot.</t>
  </si>
  <si>
    <t>Mix Varietales Reserve (Rutini CS-M, Luigi Cab. Sauv, Saint Felicien Malbec, Zuccardi Q Tempranillo, Lagarde Guarda Cab. Franc, Clos de los 7)</t>
  </si>
  <si>
    <t>Mix Mosquita Wines (1x Mosquita Muerta; 1x Sapo de otro pozo; 1x Pispi)</t>
  </si>
  <si>
    <t>Combo 3 bot.</t>
  </si>
  <si>
    <t>Mix Selección Premier ( 1x Carmela Durigutti Rva Malbec, Pasc. Toso Rva Malbec, Angelo Mattei Malbec)</t>
  </si>
  <si>
    <t>Mix Malbec (2x Luigi Bosca; 2x Nicasia; 2x Trumpeter)</t>
  </si>
  <si>
    <t>Mix Malbec Premier (2x Luigi Bosca DOC; 2x Numina; 2x DV Mal-Mal)</t>
  </si>
  <si>
    <t>Mix Blancos (2x Luigi Bosca Chardonnay; 2x Saint Felicien Chardonnay; 2x San Pedro Torrontés)</t>
  </si>
  <si>
    <t>Mix Iconos Blend ( 2x Rutini Cab-Mel; 2x DV Cab-Mal; 2x Luigi Bosca De Sangre)</t>
  </si>
  <si>
    <t>Mix Zuccardi (2x Zuccardi Q Malbec; 2x Zuccardi Q Cab. Sauv., 2x Zuccardi Q Tempranillo)</t>
  </si>
  <si>
    <t>Mix Luigi Bosca (2x DOC; 2x de Sangre; 2x varietal)</t>
  </si>
  <si>
    <t>Mix Claroscuro (2x Gran Malbec; 2x Gran Pinot Noir; 2x Cabernet Franc)</t>
  </si>
  <si>
    <t>Mix La Mascota (2x Gran Mascota Malbec; 2x Mascota Cab. Sauv.; 2x Mascota Malbec)</t>
  </si>
  <si>
    <t>Mix Sophenia (2x Synthesis Blend;2x Synthesis Malbec; 2x Sophenia Rva Malbec)</t>
  </si>
  <si>
    <t>Mix Rutini (2x Cab-Mal; 2x Cabernet; 2x Malbec)</t>
  </si>
  <si>
    <t>Mix El Enemigo (2x Enemigo Malbec; 2x Enemigo Cabernet Franc; 2x Enemigo Chardonnay)</t>
  </si>
  <si>
    <t>Mix El Enemigo Premier (2x Gran Enemigo; 2x Enemigo Malbec; 2x Enemigo Cabernet Franc)</t>
  </si>
  <si>
    <t>Mix Angelica Zapata ( 1xMalbec; 1x Cab. Sauv.; 1x Cab. Franc; 1x Merlot)</t>
  </si>
  <si>
    <t>Combo 4 bot.</t>
  </si>
  <si>
    <t>Mix Familia Catena (1xNicasia; M 1x Saint Felicien M; 1x DV Cab-Mal; 1x Angelica CS; 1x Enemigo M; 1x Gran Enemigo</t>
  </si>
  <si>
    <t>Mix Luca by Laura Catena (2x Malbec; 1x Luca Beso de Dante; 1x Pinot; 1x Syrah; 1x Chardonnay)</t>
  </si>
  <si>
    <t>Mix Yacochuya (2x Yacochuya Malbec;2x San Pedro Malbec; 2x San Pedro Torrontés)</t>
  </si>
  <si>
    <t>Mix Catena ( 2x Nicasia Malbec; 2x Saint Felicien Malbec; 2x DV Cab-Mal)</t>
  </si>
  <si>
    <t>Mix Catena Premier ( 2x Gran Enemigo; 2x Angelica Cabernet; 2x DV Mal-Mal)</t>
  </si>
  <si>
    <t>Mix Gran Enemigo ( 1x Corte; 1x Chacayes; 1x Agrelo)</t>
  </si>
  <si>
    <t>Mix Iconos Marken ( 1x Malbec Argentino; 1x Nicolas Catena; 1x Cheval Des Andes)</t>
  </si>
  <si>
    <t>Absolut x750ml + 4pack Red Bull</t>
  </si>
  <si>
    <t>Absolut Raspberry x750ml + 4pack Red Bull</t>
  </si>
  <si>
    <t>Absolut Mango x750ml + 4pack Red Bull</t>
  </si>
  <si>
    <t>Absolut Grapefruit x750ml + 4pack Red Bull</t>
  </si>
  <si>
    <t>Absolut Apple x750ml + 4pack Red Bull</t>
  </si>
  <si>
    <t>Absolut Pears x750ml + 4pack Red Bull</t>
  </si>
  <si>
    <t>J. Walker Red x750ml + 4pack Red Bull</t>
  </si>
  <si>
    <t>Jägermeister x700ml + 4pack Red Bull</t>
  </si>
  <si>
    <t>Hendrick´s x700ml + 4 latas San Pellegrino</t>
  </si>
  <si>
    <t>Monkey 47 + 4 latas San Pellegrino</t>
  </si>
  <si>
    <t>Gin Mare + 4 latas San Pellegrino</t>
  </si>
  <si>
    <t>Regalos &amp; Estuches</t>
  </si>
  <si>
    <t>Alma Negra Blend estuche x1</t>
  </si>
  <si>
    <t>Estuche Madera x1 Bramare Apellation</t>
  </si>
  <si>
    <t>Estuche Madera x1 El Gran Enemigo</t>
  </si>
  <si>
    <t>Estuche Madera x1 Yacochuya Malbec</t>
  </si>
  <si>
    <t>Estuche Madera x1 Nicolas Catena</t>
  </si>
  <si>
    <t>Estuche Madera x1 Malbec Argentino</t>
  </si>
  <si>
    <t>Estuche Madera x1 Cheval Des Andes</t>
  </si>
  <si>
    <t>Estuche Madera x2 Angelica Zapata (Malbec &amp; Cab. Sauv.)</t>
  </si>
  <si>
    <t>2x750</t>
  </si>
  <si>
    <t>Estuche Madera x2 El Enemigo Premier (El Enemigo &amp; El Gran Enemigo)</t>
  </si>
  <si>
    <t>Estuche Madera x2 Gran Enemigo</t>
  </si>
  <si>
    <t>Estuche Madera x2 (El Gran Enemigo &amp; Malbec Argentino)</t>
  </si>
  <si>
    <t>Estuche Madera x2 Iconos Catena (Malbec Argentino &amp; Nicolas Catena)</t>
  </si>
  <si>
    <t>Estuche Madera x2 Grandes Exponentes (Malbec Argentino &amp; Cheval Des Andes)</t>
  </si>
  <si>
    <t>Estuche Madera x3 El Enemigo (Cab. Franc, Malbec, Bonarda)</t>
  </si>
  <si>
    <t>Estuche Madera x3 Angelica Zapata (Cab. Sauv., Cab. Franc, Malbec)</t>
  </si>
  <si>
    <t>Estuche Madera x3 De Autor (Nicola Catena Bonarda, Polígonos San Pablo Malbec; Pedregal)</t>
  </si>
  <si>
    <t>Estuche Madera x3 Gran Enemigo (Corte, Chacayes &amp; Agrelo)</t>
  </si>
  <si>
    <t>Estuche Madera x3 Selección Premier (Bramare; Luca Beso de Dante; Yacochuya Malbec )</t>
  </si>
  <si>
    <t>Estuche Madera x3 Iconos Marken (Nicolas Catena, Malbec Argentino, Cheval Des Andes)</t>
  </si>
  <si>
    <t>Spirits &amp; Whisky</t>
  </si>
  <si>
    <t>(en blanco)</t>
  </si>
  <si>
    <t>Total general</t>
  </si>
  <si>
    <t>Etiquetas de fila</t>
  </si>
  <si>
    <t>Bourbon</t>
  </si>
  <si>
    <t>Filtro Tipo de Producto</t>
  </si>
  <si>
    <t>Bodega</t>
  </si>
  <si>
    <t>Clos de los Siete</t>
  </si>
  <si>
    <t>VINOS</t>
  </si>
  <si>
    <t>WHISKY</t>
  </si>
  <si>
    <t>SPIRITS</t>
  </si>
  <si>
    <t>COMBOS</t>
  </si>
  <si>
    <t>REGALOS &amp; ESTUCHES</t>
  </si>
  <si>
    <t>Filtro Varietales</t>
  </si>
  <si>
    <t>Filtro Bodega</t>
  </si>
  <si>
    <t>Filtro Marca</t>
  </si>
  <si>
    <t>Filtro Rango de Precio</t>
  </si>
  <si>
    <t>Rango $ Vinos</t>
  </si>
  <si>
    <t>Rango $ Whiskies</t>
  </si>
  <si>
    <t>Rango $ Spirits</t>
  </si>
  <si>
    <t>Rango $ Combos</t>
  </si>
  <si>
    <t>Rango $ Estucheria</t>
  </si>
  <si>
    <t>$10.000 en adelante</t>
  </si>
  <si>
    <t>$5.000 - $10.000</t>
  </si>
  <si>
    <t>$0 a $3.000</t>
  </si>
  <si>
    <t>$3.000 - $5.000</t>
  </si>
  <si>
    <t>$750 - $2.000</t>
  </si>
  <si>
    <t>$2.000 a $4.000</t>
  </si>
  <si>
    <t>$4.000 en adelante</t>
  </si>
  <si>
    <t>Trumpeter Cabernet Sauvignon</t>
  </si>
  <si>
    <t>Rutini Chardonnay</t>
  </si>
  <si>
    <t>Rutini Sauvignon Blanc</t>
  </si>
  <si>
    <t>Rutini Cabernet- Malbec</t>
  </si>
  <si>
    <t>Rutini Cabernet Sauvignon</t>
  </si>
  <si>
    <t>Rutini Cabernet Franc</t>
  </si>
  <si>
    <t>Rutini Malbec</t>
  </si>
  <si>
    <t>Chandon Delice</t>
  </si>
  <si>
    <t>Chandon Extra Brut</t>
  </si>
  <si>
    <t>Chandon Brut Rosé</t>
  </si>
  <si>
    <t>Chandon Demi Sec</t>
  </si>
  <si>
    <t>Chandon Aperitif</t>
  </si>
  <si>
    <t>Chandon Brut Nature</t>
  </si>
  <si>
    <t>Baron B Extra Brut</t>
  </si>
  <si>
    <t>Baron B Brut Nature</t>
  </si>
  <si>
    <t>Baron B Brut Rosé</t>
  </si>
  <si>
    <t>Trumpeter Suavignon Blanc</t>
  </si>
  <si>
    <t>Estado</t>
  </si>
  <si>
    <t>Px Venta Unidad</t>
  </si>
  <si>
    <t xml:space="preserve">% Mark Up </t>
  </si>
  <si>
    <t>Margen</t>
  </si>
  <si>
    <t>Px Post comisión</t>
  </si>
  <si>
    <t>Activo</t>
  </si>
  <si>
    <t>Inactivo</t>
  </si>
  <si>
    <t>Especiales</t>
  </si>
  <si>
    <t>Val de Flores Malbec</t>
  </si>
  <si>
    <t>La Flor Malbec by Pulenta Estate</t>
  </si>
  <si>
    <t>La Flor Cab. Sauv. by Pulenta Estate</t>
  </si>
  <si>
    <t>La Flor Sauvignon Blanc by Pulenta Estate</t>
  </si>
  <si>
    <t>La Flor Malbec Rosé by Pulenta Estate</t>
  </si>
  <si>
    <t>Pulenta Estate Malbec</t>
  </si>
  <si>
    <t>Pulenta Estate Cab. Sauv.</t>
  </si>
  <si>
    <t>Pulenta Estate Merlot</t>
  </si>
  <si>
    <t>Pulenta Estate Red Blend</t>
  </si>
  <si>
    <t>Pulenta Estate Pinot Noir</t>
  </si>
  <si>
    <t>Pulenta Estate Pinot Gris</t>
  </si>
  <si>
    <t>Pulenta Estate Merlot Rosé</t>
  </si>
  <si>
    <t>Pulenta Estate Chardonnay</t>
  </si>
  <si>
    <t>Pulenta Estate Sauvignon Blanc</t>
  </si>
  <si>
    <t>Pulenta Estate Gran Colección</t>
  </si>
  <si>
    <t>Pulenta Estate Gran Merlot</t>
  </si>
  <si>
    <t>Pulenta Estate Gran Pinot</t>
  </si>
  <si>
    <t>Pulenta Estate Gran Cab. Sauv.</t>
  </si>
  <si>
    <t>Pulenta Estate Gran Cab. Franc</t>
  </si>
  <si>
    <t>Pulenta Estate Gran Malbec</t>
  </si>
  <si>
    <t>Pulenta Estate Gran Corte</t>
  </si>
  <si>
    <t>Benmarco Pinot Noir</t>
  </si>
  <si>
    <t>Benmarco Malbec</t>
  </si>
  <si>
    <t>Benmarco Cab. Franc</t>
  </si>
  <si>
    <t>Susana Balbo Signature Malbec</t>
  </si>
  <si>
    <t>Benmarco Expresivo</t>
  </si>
  <si>
    <t xml:space="preserve">Nosotros Malbec By Susana Balbo </t>
  </si>
  <si>
    <t>Nosotros Sofita By Susana Balbo Malbec</t>
  </si>
  <si>
    <t>Demencial Malbec</t>
  </si>
  <si>
    <t>Los Intocables Malbec</t>
  </si>
  <si>
    <t>Los Intocables Cab. Sauv.</t>
  </si>
  <si>
    <t>Los Intocables Red Blend</t>
  </si>
  <si>
    <t xml:space="preserve">Claroscuro Icono </t>
  </si>
  <si>
    <t>Pascual Toso Chardonnay Champenoise</t>
  </si>
  <si>
    <t>Champagne Taittinger Brut</t>
  </si>
  <si>
    <t>Champagne Taittinger Brut + 2 Copas (Estuche especial)</t>
  </si>
  <si>
    <t>Absolut Vainilla x750ml</t>
  </si>
  <si>
    <t>J. Walker Blue Label + 200ml (Special Edition)</t>
  </si>
  <si>
    <t>Macallan Doble Cask 12 años</t>
  </si>
  <si>
    <t>Macallan Triple Cask 12 años</t>
  </si>
  <si>
    <t>Macallan Rare Cask</t>
  </si>
  <si>
    <t>Macallan Estate</t>
  </si>
  <si>
    <t>Previa</t>
  </si>
  <si>
    <t>Hendrick´s x700ml + 6 latas San Pellegrino</t>
  </si>
  <si>
    <t>Monkey 47 + 6 latas San Pellegrino</t>
  </si>
  <si>
    <t>Gin Mare + 6 latas San Pellegrino</t>
  </si>
  <si>
    <t>Mixer</t>
  </si>
  <si>
    <t>San Pellegrino Agua tónica x330ml</t>
  </si>
  <si>
    <t>Red Bull x250ml</t>
  </si>
  <si>
    <t>Aceite</t>
  </si>
  <si>
    <t>Aceite Oliovita Clásico x500ml</t>
  </si>
  <si>
    <t>Estuche Madera x3 De Autor (Nicola Catena Bonarda, Profundo, Finca Pedregal)</t>
  </si>
  <si>
    <t>Premium Reserve Bag (Nicolas Catena, Malbec Argentino, Cheval Des Andes, Veuve Cliquot Brut, J. Walker Blue Label, Gin Mare)</t>
  </si>
  <si>
    <t>Val de Flores</t>
  </si>
  <si>
    <t>The Rolland Collection</t>
  </si>
  <si>
    <t>Check</t>
  </si>
  <si>
    <t>La Flor</t>
  </si>
  <si>
    <t>Pulenta Estate</t>
  </si>
  <si>
    <t>Pinot Gris</t>
  </si>
  <si>
    <t>Susana Balbo</t>
  </si>
  <si>
    <t>Benmarco</t>
  </si>
  <si>
    <t>Susana Balbo Signature</t>
  </si>
  <si>
    <t>Nosotros</t>
  </si>
  <si>
    <t>Los Intocables</t>
  </si>
  <si>
    <t>Taittinger</t>
  </si>
  <si>
    <t>La Linda Cabernet Sauvignon</t>
  </si>
  <si>
    <t>Luigi Bosca Cabernet Sauvignon</t>
  </si>
  <si>
    <t>Saint Felicien Cabernet Sauvignon</t>
  </si>
  <si>
    <t>Saint Felicien Cabernet Franc</t>
  </si>
  <si>
    <t>Pequeñas Producciones Cabernet Sauvignon</t>
  </si>
  <si>
    <t>Pequeñas Producciones Cabernet Franc</t>
  </si>
  <si>
    <t>Finca Sophenia Reserva Cabernet Sauvignon</t>
  </si>
  <si>
    <t>Monteagrelo Cabernet Sauvignon</t>
  </si>
  <si>
    <t>Marchiori &amp; Barraud Cabernet Sauvignon</t>
  </si>
  <si>
    <t>Tapiz Alta Collection Cabernet Sauvignon</t>
  </si>
  <si>
    <t>Pulenta Estate Cabernet Sauvignon</t>
  </si>
  <si>
    <t>Pulenta Estate Gran Cabernet Sauvignon</t>
  </si>
  <si>
    <t>Achaval Ferrer Cabernet Sauvignon</t>
  </si>
  <si>
    <t>Salentein Reserva Cabernet Sauvignon</t>
  </si>
  <si>
    <t>Durigutti Cabernet Sauvignon</t>
  </si>
  <si>
    <t>Durigutti Reserva Cabernet Sauvignon</t>
  </si>
  <si>
    <t>Pascual Toso Estate Cabernet Sauvignon</t>
  </si>
  <si>
    <t>Pascual Toso Reserva Cabernet Sauvignon</t>
  </si>
  <si>
    <t>Pascual Toso Alta Cabernet Sauvignon</t>
  </si>
  <si>
    <t>Gran Medalla Cabernet Sauvignon</t>
  </si>
  <si>
    <t>Medalla Cabernet Sauvignon</t>
  </si>
  <si>
    <t>Fond de Cave Gran Reserva Cabernet Sauvignon</t>
  </si>
  <si>
    <t>Los Intocables Cabernet Sauvignon</t>
  </si>
  <si>
    <t>El Esteco Old Vines Cabernet Sauvignon</t>
  </si>
  <si>
    <t>El Esteco Cabernet Sauvignon</t>
  </si>
  <si>
    <t>Alegoria Gran Reserva Cabernet Sauvignon</t>
  </si>
  <si>
    <t>La Mascota Cabernet Sauvignon</t>
  </si>
  <si>
    <t>Gran Mascota Cabernet Sauvignon</t>
  </si>
  <si>
    <t>Poligonos Paraje Altamira Cabernet Franc</t>
  </si>
  <si>
    <t>Poligonos Paraje San Pablo Cabernet Franc</t>
  </si>
  <si>
    <t>Finca Sophenia Reserva Cabernet Franc</t>
  </si>
  <si>
    <t>Lagarde Guarda Cabernet Franc</t>
  </si>
  <si>
    <t>Monteagrelo Cabernet Franc</t>
  </si>
  <si>
    <t>Tapiz Alta Collection Cabernet Franc</t>
  </si>
  <si>
    <t>Pulenta Estate Gran Cabernet Franc</t>
  </si>
  <si>
    <t>Achaval Ferrer Cabernet Franc</t>
  </si>
  <si>
    <t>Barrabas Cabernet Franc</t>
  </si>
  <si>
    <t>Salentein Reserva Cabernet Franc</t>
  </si>
  <si>
    <t>Durigutti Cabernet Franc</t>
  </si>
  <si>
    <t>Durigutti Reserva Cabernet Franc</t>
  </si>
  <si>
    <t>Proyecto las compuertas Cabernet Franc</t>
  </si>
  <si>
    <t>Benmarco Cabernet Franc</t>
  </si>
  <si>
    <t>Gran Medalla Cabernet Franc</t>
  </si>
  <si>
    <t>Sauvignon Blanc</t>
  </si>
  <si>
    <t>Trumpeter Sauvignon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</si>
</sst>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\ * #,##0.00_-;\-&quot;$&quot;\ * #,##0.00_-;_-&quot;$&quot;\ * &quot;-&quot;??_-;_-@_-"/>
    <numFmt numFmtId="164" formatCode="_(&quot;$&quot;* #,##0.00_);_(&quot;$&quot;* \(#,##0.00\);_(&quot;$&quot;* &quot;-&quot;??_);_(@_)"/>
    <numFmt numFmtId="165" formatCode="0.000%"/>
    <numFmt numFmtId="166" formatCode="_-&quot;$&quot;\ * #,##0.000_-;\-&quot;$&quot;\ * #,##0.000_-;_-&quot;$&quot;\ * &quot;-&quot;?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1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1" applyFont="1" applyFill="1" applyBorder="1"/>
    <xf numFmtId="164" fontId="2" fillId="3" borderId="1" xfId="1" applyFont="1" applyFill="1" applyBorder="1"/>
    <xf numFmtId="44" fontId="0" fillId="0" borderId="0" xfId="0" applyNumberFormat="1"/>
    <xf numFmtId="165" fontId="0" fillId="0" borderId="0" xfId="2" applyNumberFormat="1" applyFont="1"/>
    <xf numFmtId="164" fontId="1" fillId="0" borderId="1" xfId="1" applyFont="1" applyFill="1" applyBorder="1"/>
    <xf numFmtId="164" fontId="0" fillId="0" borderId="1" xfId="1" applyFont="1" applyBorder="1"/>
    <xf numFmtId="14" fontId="1" fillId="0" borderId="2" xfId="0" applyNumberFormat="1" applyFont="1" applyBorder="1"/>
    <xf numFmtId="0" fontId="1" fillId="0" borderId="0" xfId="0" applyFont="1"/>
    <xf numFmtId="0" fontId="1" fillId="4" borderId="1" xfId="0" applyFont="1" applyFill="1" applyBorder="1"/>
    <xf numFmtId="0" fontId="0" fillId="0" borderId="0" xfId="0" applyAlignment="1">
      <alignment horizontal="center"/>
    </xf>
    <xf numFmtId="16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14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Font="1" applyFill="1" applyBorder="1"/>
    <xf numFmtId="164" fontId="2" fillId="3" borderId="0" xfId="1" applyFont="1" applyFill="1" applyBorder="1"/>
    <xf numFmtId="0" fontId="2" fillId="2" borderId="0" xfId="0" applyFont="1" applyFill="1"/>
    <xf numFmtId="10" fontId="0" fillId="0" borderId="1" xfId="2" applyNumberFormat="1" applyFont="1" applyFill="1" applyBorder="1"/>
    <xf numFmtId="164" fontId="0" fillId="0" borderId="0" xfId="1" applyFont="1" applyFill="1" applyBorder="1"/>
    <xf numFmtId="10" fontId="0" fillId="0" borderId="0" xfId="2" applyNumberFormat="1" applyFont="1"/>
    <xf numFmtId="14" fontId="0" fillId="0" borderId="0" xfId="0" applyNumberFormat="1"/>
    <xf numFmtId="166" fontId="0" fillId="0" borderId="0" xfId="0" applyNumberFormat="1"/>
    <xf numFmtId="44" fontId="0" fillId="4" borderId="0" xfId="0" applyNumberFormat="1" applyFill="1"/>
    <xf numFmtId="164" fontId="0" fillId="5" borderId="1" xfId="1" applyFont="1" applyFill="1" applyBorder="1"/>
    <xf numFmtId="0" fontId="1" fillId="6" borderId="1" xfId="0" applyFont="1" applyFill="1" applyBorder="1"/>
    <xf numFmtId="164" fontId="0" fillId="0" borderId="0" xfId="1" applyFont="1" applyFill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14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4" fontId="0" fillId="0" borderId="1" xfId="0" applyNumberFormat="1" applyFon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M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 Inversión"/>
      <sheetName val="Referencias"/>
      <sheetName val="Inversión inicial"/>
      <sheetName val="Armado Px ML"/>
      <sheetName val="Maestro de Productos"/>
      <sheetName val="Ariel"/>
      <sheetName val="Marcio"/>
      <sheetName val="Marcos"/>
      <sheetName val="Fren"/>
      <sheetName val="Cuenta Eze"/>
      <sheetName val="Prop. Ambassador"/>
      <sheetName val="PT"/>
      <sheetName val="Pauta 6-9"/>
      <sheetName val="Pauta 13-9"/>
      <sheetName val="Pauta 20-9"/>
      <sheetName val="Pauta 27-9"/>
      <sheetName val="Pauta 4-10"/>
      <sheetName val="Lista Turco"/>
      <sheetName val="Turco"/>
      <sheetName val="Lista Mayorista 27-9"/>
      <sheetName val="Lista de Precios 27-9"/>
      <sheetName val="Lista Mayorista 4-10"/>
      <sheetName val="Lista de Precios 4-10"/>
      <sheetName val="Venta"/>
      <sheetName val="Compra"/>
      <sheetName val="Stock"/>
      <sheetName val="Estuches"/>
      <sheetName val="Prototipo Pedido"/>
      <sheetName val="Cotizaciones"/>
      <sheetName val="Padrón Clientes"/>
      <sheetName val="Cta. Cte."/>
      <sheetName val="Ediciones Especiales Catena Zap"/>
      <sheetName val="Analisis Pauta"/>
      <sheetName val="IV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32">
          <cell r="G432">
            <v>1378.19</v>
          </cell>
          <cell r="H432">
            <v>1900</v>
          </cell>
        </row>
        <row r="433">
          <cell r="G433">
            <v>1570.58</v>
          </cell>
          <cell r="H433">
            <v>2200</v>
          </cell>
        </row>
        <row r="435">
          <cell r="G435">
            <v>2510.75</v>
          </cell>
          <cell r="H435">
            <v>3500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ardo  Leiva" refreshedDate="44400.711570833337" createdVersion="6" refreshedVersion="6" minRefreshableVersion="3" recordCount="453">
  <cacheSource type="worksheet">
    <worksheetSource ref="A1:K1048576" sheet="Maestro de Productos"/>
  </cacheSource>
  <cacheFields count="11">
    <cacheField name="Categoría" numFmtId="0">
      <sharedItems containsBlank="1" count="7">
        <s v="Vinos"/>
        <s v="Spirits"/>
        <s v="Whisky"/>
        <s v="Combos"/>
        <s v="Regalos &amp; Estuches"/>
        <m/>
        <s v="Bodega" u="1"/>
      </sharedItems>
    </cacheField>
    <cacheField name="Tipo Producto" numFmtId="0">
      <sharedItems containsBlank="1" count="20">
        <s v="Tinto"/>
        <s v="Blanco"/>
        <s v="Rosado"/>
        <s v="Espumantes"/>
        <s v="Gin"/>
        <s v="Licor"/>
        <s v="Ron"/>
        <s v="Tequila"/>
        <s v="Vodka"/>
        <s v="Cogñac"/>
        <s v="Blend"/>
        <s v="Bourbon"/>
        <s v="Singlemalt"/>
        <s v="Vinos"/>
        <s v="Spirits"/>
        <s v="Spirits &amp; Whisky"/>
        <s v="Bodega"/>
        <m/>
        <s v="Especiales" u="1"/>
        <s v="Americano" u="1"/>
      </sharedItems>
    </cacheField>
    <cacheField name="Varietal" numFmtId="0">
      <sharedItems containsBlank="1" count="52">
        <s v="Cabernet Sauvignon"/>
        <s v="Malbec"/>
        <s v="Chardonnay"/>
        <s v="Suavignon Blanc"/>
        <s v="Blend"/>
        <s v="Cabernet Franc"/>
        <s v="N/A"/>
        <s v="Pinot Noir"/>
        <s v="Merlot"/>
        <s v="Bonarda"/>
        <m/>
        <s v="Syrah"/>
        <s v="Tempranillo"/>
        <s v="Tannat"/>
        <s v="Torrontés"/>
        <s v="Criolla"/>
        <s v="Cordisco"/>
        <s v="Rutini Wines"/>
        <s v="Luigi Bosca "/>
        <s v="Catena Zapata"/>
        <s v="Enemigo Wines"/>
        <s v="Chandon"/>
        <s v="Ernesto Catena"/>
        <s v="Laura Catena"/>
        <s v="Viña Cobos"/>
        <s v="Escorihuela Gascón"/>
        <s v="Zuccardi"/>
        <s v="Sophenia"/>
        <s v="Lagarde"/>
        <s v="Colomé"/>
        <s v="El Porvenir"/>
        <s v="Clos de los Siete"/>
        <s v="Yacochuya"/>
        <s v="Mosquita Wines"/>
        <s v="Bressia"/>
        <s v="Angelo Mattei"/>
        <s v="Marchiori &amp; Barraud"/>
        <s v="Tapiz"/>
        <s v="Achaval Ferrer"/>
        <s v="Sottano/Vicentin"/>
        <s v="Salentein"/>
        <s v="Durigutti"/>
        <s v="Pascual Toso"/>
        <s v="Trapiche"/>
        <s v="Finca Las Moras"/>
        <s v="El Esteco"/>
        <s v="Navarro Correas"/>
        <s v="La Mascota"/>
        <s v="Bemberg Estate Wines"/>
        <s v="Claroscuro"/>
        <s v="Rosell Boher"/>
        <s v="Clos" u="1"/>
      </sharedItems>
    </cacheField>
    <cacheField name="Bodega" numFmtId="0">
      <sharedItems containsBlank="1" count="36">
        <s v="Rutini Wines"/>
        <s v="Luigi Bosca "/>
        <s v="Catena Zapata"/>
        <s v="Enemigo Wines"/>
        <s v="Chandon"/>
        <s v="Ernesto Catena"/>
        <s v="Laura Catena"/>
        <s v="Viña Cobos"/>
        <s v="Escorihuela Gascón"/>
        <s v="Zuccardi"/>
        <s v="Sophenia"/>
        <s v="Lagarde"/>
        <s v="Colomé"/>
        <s v="El Porvenir"/>
        <s v="Clos"/>
        <s v="Yacochuya"/>
        <s v="Mosquita Wines"/>
        <s v="Bressia"/>
        <s v="Angelo Mattei"/>
        <s v="Marchiori &amp; Barraud"/>
        <s v="Tapiz"/>
        <s v="Achaval Ferrer"/>
        <s v="Sottano/Vicentin"/>
        <s v="Salentein"/>
        <s v="Durigutti"/>
        <s v="Pascual Toso"/>
        <s v="Trapiche"/>
        <s v="Finca Las Moras"/>
        <s v="El Esteco"/>
        <s v="Navarro Correas"/>
        <s v="La Mascota"/>
        <s v="Claroscuro"/>
        <s v="Rosell Boher"/>
        <s v="N/A"/>
        <m/>
        <s v="Bemberg Estate Wines" u="1"/>
      </sharedItems>
    </cacheField>
    <cacheField name="Marca" numFmtId="0">
      <sharedItems containsBlank="1" count="161">
        <s v="Trumpeter"/>
        <s v="Rutini"/>
        <s v="La Linda"/>
        <s v="Luigi Bosca Varietales"/>
        <s v="Luigi Bosca De Sangre"/>
        <s v="Nicasia "/>
        <s v="Saint Felicien"/>
        <s v="DV Catena"/>
        <s v="Angelica Zapata"/>
        <s v="El Enemigo"/>
        <s v="El Gran Enemigo"/>
        <s v="Nicolas Catena"/>
        <s v="Malbec Argentino"/>
        <s v="Cheval Des Andes"/>
        <s v="Alma Negra"/>
        <s v="Siesta"/>
        <s v="Domaine Nico"/>
        <s v="Caro"/>
        <s v="Petit Caro"/>
        <s v="Aruma"/>
        <s v="Luca"/>
        <s v="Nicola Catena"/>
        <s v="Felino"/>
        <s v="Cocodrilo"/>
        <s v="Bramare"/>
        <s v="Pequeñas Producciones"/>
        <s v="Zuccardi Q"/>
        <s v="Concreto"/>
        <s v="Poligonos"/>
        <s v="Sophenia Reserva"/>
        <s v="Antisynthesis"/>
        <s v="Synthesis"/>
        <s v="Lagarde Organic"/>
        <s v="Lagarde Guarda"/>
        <s v="Colomé Estate"/>
        <s v="Colomé Lote Especial"/>
        <s v="Laborum"/>
        <s v="Laborum Parcela"/>
        <s v="Clos de los 7"/>
        <s v="San Pedro Yacochuya"/>
        <s v="Yacochuya"/>
        <s v="Mosquita Muerta"/>
        <s v="Sapo de Otro Pozo"/>
        <s v="Pispi"/>
        <s v="Monteagrelo"/>
        <s v="Lagrima Canela"/>
        <s v="Profundo"/>
        <s v="Piel Negra"/>
        <s v="Conjuro"/>
        <s v="Angelo Mattei"/>
        <s v="Marchiori &amp; Barraud"/>
        <s v="Marchiori &amp; Barraud Cuartel"/>
        <s v="Marchiori &amp; Barraud Hornero"/>
        <s v="Tapiz Orgánico"/>
        <s v="Tapiz Alta Collection"/>
        <s v="Tapiz Selección de Barricas"/>
        <s v="Tapiz Black Tears"/>
        <s v="Las Notas de Jean Claude"/>
        <s v="Mendoza"/>
        <s v="Quimera"/>
        <s v="Achaval Ferrer Fincas"/>
        <s v="Indomable"/>
        <s v="Barrabas"/>
        <s v="Colosso"/>
        <s v="Maldito"/>
        <s v="Arrogante"/>
        <s v="Judas"/>
        <s v="Salentein Rva."/>
        <s v="Numina"/>
        <s v="Primus"/>
        <s v="Durigutti clásico"/>
        <s v="Durigutti Rva."/>
        <s v="Carmela"/>
        <s v="Carmela Rva."/>
        <s v="Proyecto las Compuertas"/>
        <s v="Pascual Toso Estate"/>
        <s v="Barrancas"/>
        <s v="Pascual Toso Rva."/>
        <s v="Pascual Toso Alta"/>
        <s v="Finca Pedegral"/>
        <s v="Magdalena"/>
        <s v="Pascual Toso 125 años"/>
        <s v="Iscay"/>
        <s v="Trapiche Terroir Series"/>
        <s v="Gran Medalla"/>
        <s v="Medalla"/>
        <s v="Fond de Cave Gran Rva."/>
        <s v="Costa &amp; Pampa"/>
        <s v="Sagrado"/>
        <s v="Mora Negra"/>
        <s v="Gran Syrah"/>
        <s v="Demencial"/>
        <s v="Altimus"/>
        <s v="Chañar Punco"/>
        <s v="Finca Notables"/>
        <s v="Old Vines"/>
        <s v="El Esteco"/>
        <s v="Juan De Dios"/>
        <s v="Structura"/>
        <s v="Selección del Enólogo"/>
        <s v="Alegoría"/>
        <s v="La Mascota"/>
        <s v="Gran Mascota"/>
        <s v="Unanime"/>
        <s v="La Mascota Sparkling"/>
        <s v="Claroscuro"/>
        <s v="Sottano"/>
        <s v="Chandon"/>
        <s v="Baron B"/>
        <s v="Rosell Boher"/>
        <s v="Dom Perignon"/>
        <s v="Veuve Cliquot"/>
        <s v="Moët Chandon"/>
        <s v="Beefeater"/>
        <s v="Tanqueray"/>
        <s v="Bulldog"/>
        <s v="Bombay Saphire"/>
        <s v="Le Tribute"/>
        <s v="Hendrick´s"/>
        <s v="Monkey 47"/>
        <s v="Gin Mare"/>
        <s v="Baileys"/>
        <s v="Amarula"/>
        <s v="Jägermeister"/>
        <s v="Sheridans"/>
        <s v="Havana"/>
        <s v="Zacapa"/>
        <s v="Don Julio"/>
        <s v="Smirnoff"/>
        <s v="Absolut"/>
        <s v="Ketel One"/>
        <s v="Grey Groose"/>
        <s v="Hennesy"/>
        <s v="J&amp;B"/>
        <s v="Jameson"/>
        <s v="Old Parr"/>
        <s v="Buchanan´s"/>
        <s v="Bulleit"/>
        <s v="Jack Daniel´s"/>
        <s v="Maker´s Mark"/>
        <s v="Jhonnie Walker"/>
        <s v="Chivas"/>
        <s v="Aberlour"/>
        <s v="The Glenlivet"/>
        <s v="The Glenrothes"/>
        <s v="Glenfiddich"/>
        <s v="Scapa"/>
        <s v="Glenmorangie"/>
        <s v="Macallan"/>
        <s v="Longmorn"/>
        <s v="Singleton"/>
        <s v="Talisker"/>
        <s v="Cardhu"/>
        <s v="Caol Ila"/>
        <s v="Cragganmore"/>
        <s v="Glen Elguin"/>
        <s v="Glenkinchie"/>
        <s v="Clynelish"/>
        <s v="N/A"/>
        <s v="La Linterna"/>
        <m/>
      </sharedItems>
    </cacheField>
    <cacheField name="Rango Precios" numFmtId="0">
      <sharedItems containsBlank="1" count="12">
        <s v="$0 - $750"/>
        <s v="$750 - $2.000"/>
        <s v="$2.000 a $4.000"/>
        <s v="$4.000 en adelante"/>
        <s v="$0 a $3.000"/>
        <s v="$3.000 - $5.000"/>
        <s v="$5.000 - $10.000"/>
        <s v="$10.000 en adelante"/>
        <m/>
        <s v="$3000 en adelante" u="1"/>
        <s v="$750 - $1.500" u="1"/>
        <s v="$1.500 a $3000" u="1"/>
      </sharedItems>
    </cacheField>
    <cacheField name="Descripción" numFmtId="0">
      <sharedItems containsBlank="1"/>
    </cacheField>
    <cacheField name="Unidad x Caja" numFmtId="0">
      <sharedItems containsBlank="1"/>
    </cacheField>
    <cacheField name="Px Compra Unidad" numFmtId="164">
      <sharedItems containsBlank="1" containsMixedTypes="1" containsNumber="1" minValue="0" maxValue="23273.587699999996"/>
    </cacheField>
    <cacheField name="Px Web Unidad " numFmtId="164">
      <sharedItems containsString="0" containsBlank="1" containsNumber="1" containsInteger="1" minValue="0" maxValue="88880"/>
    </cacheField>
    <cacheField name="Px Web Unidad Efectivo" numFmtId="164">
      <sharedItems containsString="0" containsBlank="1" containsNumber="1" containsInteger="1" minValue="0" maxValue="7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3">
  <r>
    <x v="0"/>
    <x v="0"/>
    <x v="0"/>
    <x v="0"/>
    <x v="0"/>
    <x v="0"/>
    <s v="Trumpeter Cabernet"/>
    <s v="6x750"/>
    <n v="426"/>
    <n v="620"/>
    <n v="558"/>
  </r>
  <r>
    <x v="0"/>
    <x v="0"/>
    <x v="1"/>
    <x v="0"/>
    <x v="0"/>
    <x v="0"/>
    <s v="Trumpeter Malbec"/>
    <s v="6x750"/>
    <n v="439"/>
    <n v="620"/>
    <n v="558"/>
  </r>
  <r>
    <x v="0"/>
    <x v="1"/>
    <x v="2"/>
    <x v="0"/>
    <x v="1"/>
    <x v="1"/>
    <s v="Rutini Chardonnay x750ml"/>
    <s v="6x750"/>
    <n v="980"/>
    <n v="1440"/>
    <n v="1296"/>
  </r>
  <r>
    <x v="0"/>
    <x v="1"/>
    <x v="3"/>
    <x v="0"/>
    <x v="1"/>
    <x v="1"/>
    <s v="Rutini Sauvignon Blanc x750ml"/>
    <s v="6x750"/>
    <n v="750"/>
    <n v="1100"/>
    <n v="990"/>
  </r>
  <r>
    <x v="0"/>
    <x v="0"/>
    <x v="4"/>
    <x v="0"/>
    <x v="1"/>
    <x v="1"/>
    <s v="Rutini Cabernet- Malbec x750ml"/>
    <s v="6x750"/>
    <n v="771"/>
    <n v="1100"/>
    <n v="990"/>
  </r>
  <r>
    <x v="0"/>
    <x v="0"/>
    <x v="0"/>
    <x v="0"/>
    <x v="1"/>
    <x v="1"/>
    <s v="Rutini Cabernet Sauvignon x750ml"/>
    <s v="6x750"/>
    <n v="1167"/>
    <n v="1660"/>
    <n v="1494"/>
  </r>
  <r>
    <x v="0"/>
    <x v="0"/>
    <x v="5"/>
    <x v="0"/>
    <x v="1"/>
    <x v="1"/>
    <s v="Rutini Cabernet Franc x750ml"/>
    <s v="6x750"/>
    <n v="1167"/>
    <n v="1660"/>
    <n v="1494"/>
  </r>
  <r>
    <x v="0"/>
    <x v="0"/>
    <x v="1"/>
    <x v="0"/>
    <x v="1"/>
    <x v="1"/>
    <s v="Rutini Malbec x750ml"/>
    <s v="6x750"/>
    <n v="1400"/>
    <n v="1990"/>
    <n v="1791"/>
  </r>
  <r>
    <x v="0"/>
    <x v="1"/>
    <x v="2"/>
    <x v="1"/>
    <x v="2"/>
    <x v="0"/>
    <s v="La Linda Chardonnay"/>
    <s v="6x750"/>
    <n v="321.2"/>
    <n v="470"/>
    <n v="423"/>
  </r>
  <r>
    <x v="0"/>
    <x v="2"/>
    <x v="6"/>
    <x v="1"/>
    <x v="2"/>
    <x v="0"/>
    <s v="La Linda Rosé"/>
    <s v="6x750"/>
    <n v="327.04000000000002"/>
    <n v="470"/>
    <n v="423"/>
  </r>
  <r>
    <x v="0"/>
    <x v="0"/>
    <x v="0"/>
    <x v="1"/>
    <x v="2"/>
    <x v="0"/>
    <s v="La Linda Cab. Sauv."/>
    <s v="6x750"/>
    <n v="321.2"/>
    <n v="470"/>
    <n v="423"/>
  </r>
  <r>
    <x v="0"/>
    <x v="0"/>
    <x v="1"/>
    <x v="1"/>
    <x v="2"/>
    <x v="0"/>
    <s v="La Linda Malbec"/>
    <s v="6x750"/>
    <n v="336.005"/>
    <n v="470"/>
    <n v="423"/>
  </r>
  <r>
    <x v="0"/>
    <x v="2"/>
    <x v="6"/>
    <x v="1"/>
    <x v="3"/>
    <x v="1"/>
    <s v="Luigi Bosca Rose is Rose"/>
    <s v="6x750"/>
    <n v="649.6"/>
    <n v="950"/>
    <n v="855"/>
  </r>
  <r>
    <x v="0"/>
    <x v="1"/>
    <x v="2"/>
    <x v="1"/>
    <x v="3"/>
    <x v="1"/>
    <s v="Luigi Bosca Chardonnay"/>
    <s v="6x750"/>
    <n v="528.65"/>
    <n v="880"/>
    <n v="792"/>
  </r>
  <r>
    <x v="0"/>
    <x v="0"/>
    <x v="0"/>
    <x v="1"/>
    <x v="3"/>
    <x v="1"/>
    <s v="Luigi Bosca Cabernet"/>
    <s v="6x750"/>
    <n v="560"/>
    <n v="880"/>
    <n v="792"/>
  </r>
  <r>
    <x v="0"/>
    <x v="0"/>
    <x v="1"/>
    <x v="1"/>
    <x v="3"/>
    <x v="1"/>
    <s v="Luigi Bosca Malbec"/>
    <s v="6x750"/>
    <n v="604.80999999999995"/>
    <n v="880"/>
    <n v="792"/>
  </r>
  <r>
    <x v="0"/>
    <x v="0"/>
    <x v="7"/>
    <x v="1"/>
    <x v="3"/>
    <x v="1"/>
    <s v="Luigi Bosca Pinot Noir"/>
    <s v="6x750"/>
    <n v="560"/>
    <n v="880"/>
    <n v="792"/>
  </r>
  <r>
    <x v="0"/>
    <x v="0"/>
    <x v="4"/>
    <x v="1"/>
    <x v="4"/>
    <x v="1"/>
    <s v="Luigi Bosca de Sangre Blend"/>
    <s v="6x750"/>
    <n v="967.69"/>
    <n v="1390"/>
    <n v="1251"/>
  </r>
  <r>
    <x v="0"/>
    <x v="0"/>
    <x v="1"/>
    <x v="1"/>
    <x v="4"/>
    <x v="1"/>
    <s v="Luigi Bosca de Sangre Malbec DOC"/>
    <s v="6x750"/>
    <n v="950.4"/>
    <n v="1390"/>
    <n v="1251"/>
  </r>
  <r>
    <x v="0"/>
    <x v="0"/>
    <x v="1"/>
    <x v="1"/>
    <x v="4"/>
    <x v="1"/>
    <s v="Luigi Bosca DOC"/>
    <s v="6x750"/>
    <n v="806"/>
    <n v="1390"/>
    <n v="1251"/>
  </r>
  <r>
    <x v="0"/>
    <x v="1"/>
    <x v="4"/>
    <x v="2"/>
    <x v="5"/>
    <x v="0"/>
    <s v="Nicasia Blanc de Blancs"/>
    <s v="6x750"/>
    <n v="500.5"/>
    <n v="730"/>
    <n v="657"/>
  </r>
  <r>
    <x v="0"/>
    <x v="0"/>
    <x v="5"/>
    <x v="2"/>
    <x v="5"/>
    <x v="0"/>
    <s v="Nicasia Cabernet Franc"/>
    <s v="6x750"/>
    <n v="500.5"/>
    <n v="730"/>
    <n v="657"/>
  </r>
  <r>
    <x v="0"/>
    <x v="0"/>
    <x v="1"/>
    <x v="2"/>
    <x v="5"/>
    <x v="0"/>
    <s v="Nicasia Malbec"/>
    <s v="6x750"/>
    <n v="500.5"/>
    <n v="730"/>
    <n v="657"/>
  </r>
  <r>
    <x v="0"/>
    <x v="1"/>
    <x v="2"/>
    <x v="2"/>
    <x v="6"/>
    <x v="1"/>
    <s v="Saint Felicien Chardonnay"/>
    <s v="6x750"/>
    <n v="599.5"/>
    <n v="880"/>
    <n v="792"/>
  </r>
  <r>
    <x v="0"/>
    <x v="0"/>
    <x v="0"/>
    <x v="2"/>
    <x v="6"/>
    <x v="1"/>
    <s v="Saint Felicien Cab. Sauv."/>
    <s v="6x750"/>
    <n v="599.5"/>
    <n v="880"/>
    <n v="792"/>
  </r>
  <r>
    <x v="0"/>
    <x v="0"/>
    <x v="5"/>
    <x v="2"/>
    <x v="6"/>
    <x v="1"/>
    <s v="Saint Felicien Cab. Franc"/>
    <s v="6x750"/>
    <n v="599.5"/>
    <n v="880"/>
    <n v="792"/>
  </r>
  <r>
    <x v="0"/>
    <x v="0"/>
    <x v="1"/>
    <x v="2"/>
    <x v="6"/>
    <x v="1"/>
    <s v="Saint Felicien Malbec"/>
    <s v="6x750"/>
    <n v="599.5"/>
    <n v="880"/>
    <n v="792"/>
  </r>
  <r>
    <x v="0"/>
    <x v="1"/>
    <x v="2"/>
    <x v="2"/>
    <x v="7"/>
    <x v="1"/>
    <s v="DV Catena Chardonnay-Chardonnay"/>
    <s v="6x750"/>
    <n v="695.75"/>
    <n v="1060"/>
    <n v="954"/>
  </r>
  <r>
    <x v="0"/>
    <x v="0"/>
    <x v="4"/>
    <x v="2"/>
    <x v="7"/>
    <x v="1"/>
    <s v="DV Catena Cabernet-Malbec"/>
    <s v="6x750"/>
    <n v="693"/>
    <n v="990"/>
    <n v="891"/>
  </r>
  <r>
    <x v="0"/>
    <x v="0"/>
    <x v="1"/>
    <x v="2"/>
    <x v="7"/>
    <x v="1"/>
    <s v="DV Catena Malbec-Malbec"/>
    <s v="6x750"/>
    <n v="1265"/>
    <n v="1770"/>
    <n v="1593"/>
  </r>
  <r>
    <x v="0"/>
    <x v="0"/>
    <x v="0"/>
    <x v="2"/>
    <x v="7"/>
    <x v="1"/>
    <s v="DV Catena Cabernet-Cabernet"/>
    <s v="6x750"/>
    <n v="1328.25"/>
    <n v="1990"/>
    <n v="1791"/>
  </r>
  <r>
    <x v="0"/>
    <x v="1"/>
    <x v="2"/>
    <x v="2"/>
    <x v="8"/>
    <x v="1"/>
    <s v="Angelica Zapata Chardonnay"/>
    <s v="4x750"/>
    <n v="1045"/>
    <n v="1620"/>
    <n v="1458"/>
  </r>
  <r>
    <x v="0"/>
    <x v="0"/>
    <x v="8"/>
    <x v="2"/>
    <x v="8"/>
    <x v="1"/>
    <s v="Angelica Zapata Merlot"/>
    <s v="4x750"/>
    <n v="1045"/>
    <n v="1580"/>
    <n v="1422"/>
  </r>
  <r>
    <x v="0"/>
    <x v="0"/>
    <x v="0"/>
    <x v="2"/>
    <x v="8"/>
    <x v="1"/>
    <s v="Angelica Zapata Cabernet Sauvignon"/>
    <s v="4x750"/>
    <n v="1138.5"/>
    <n v="1730"/>
    <n v="1557"/>
  </r>
  <r>
    <x v="0"/>
    <x v="0"/>
    <x v="5"/>
    <x v="2"/>
    <x v="8"/>
    <x v="2"/>
    <s v="Angelica Zapata Cabernet Franc"/>
    <s v="4x750"/>
    <n v="1457.5"/>
    <n v="2170"/>
    <n v="1953"/>
  </r>
  <r>
    <x v="0"/>
    <x v="0"/>
    <x v="1"/>
    <x v="2"/>
    <x v="8"/>
    <x v="2"/>
    <s v="Angelica Zapata Malbec"/>
    <s v="4x750"/>
    <n v="2090"/>
    <n v="2990"/>
    <n v="2691"/>
  </r>
  <r>
    <x v="0"/>
    <x v="1"/>
    <x v="2"/>
    <x v="3"/>
    <x v="9"/>
    <x v="1"/>
    <s v="El Enemigo Chardonnay"/>
    <s v="6x750"/>
    <n v="1113.75"/>
    <n v="1730"/>
    <n v="1557"/>
  </r>
  <r>
    <x v="0"/>
    <x v="0"/>
    <x v="5"/>
    <x v="3"/>
    <x v="9"/>
    <x v="1"/>
    <s v="El Enemigo Cabernet franc"/>
    <s v="6x750"/>
    <n v="1254"/>
    <n v="1880"/>
    <n v="1692"/>
  </r>
  <r>
    <x v="0"/>
    <x v="0"/>
    <x v="1"/>
    <x v="3"/>
    <x v="9"/>
    <x v="1"/>
    <s v="El Enemigo Malbec"/>
    <s v="6x750"/>
    <n v="1254"/>
    <n v="1880"/>
    <n v="1692"/>
  </r>
  <r>
    <x v="0"/>
    <x v="0"/>
    <x v="9"/>
    <x v="3"/>
    <x v="9"/>
    <x v="1"/>
    <s v="El Enemigo Bonarda"/>
    <s v="6x750"/>
    <n v="1350.25"/>
    <n v="1990"/>
    <n v="1791"/>
  </r>
  <r>
    <x v="0"/>
    <x v="0"/>
    <x v="4"/>
    <x v="3"/>
    <x v="10"/>
    <x v="2"/>
    <s v="El Gran Enemigo Corte (Cab. Franc - Malb)"/>
    <s v="6x750"/>
    <n v="2087.25"/>
    <n v="3330"/>
    <n v="2997"/>
  </r>
  <r>
    <x v="0"/>
    <x v="0"/>
    <x v="10"/>
    <x v="3"/>
    <x v="10"/>
    <x v="2"/>
    <s v="El Gran Enemigo Agrelo"/>
    <s v="6x750"/>
    <n v="2087.25"/>
    <n v="3330"/>
    <n v="2997"/>
  </r>
  <r>
    <x v="0"/>
    <x v="0"/>
    <x v="10"/>
    <x v="3"/>
    <x v="10"/>
    <x v="2"/>
    <s v="El Gran Enemigo Chacayes"/>
    <s v="6x750"/>
    <n v="2087.25"/>
    <n v="3330"/>
    <n v="2997"/>
  </r>
  <r>
    <x v="0"/>
    <x v="0"/>
    <x v="10"/>
    <x v="3"/>
    <x v="10"/>
    <x v="2"/>
    <s v="El Gran Enemigo Cepillo"/>
    <s v="6x750"/>
    <n v="2087.25"/>
    <n v="3330"/>
    <n v="2997"/>
  </r>
  <r>
    <x v="0"/>
    <x v="0"/>
    <x v="10"/>
    <x v="3"/>
    <x v="10"/>
    <x v="2"/>
    <s v="El Gran Enemigo Gualtallary"/>
    <s v="6x750"/>
    <n v="2087.25"/>
    <n v="3660"/>
    <n v="3294"/>
  </r>
  <r>
    <x v="0"/>
    <x v="0"/>
    <x v="10"/>
    <x v="2"/>
    <x v="11"/>
    <x v="3"/>
    <s v="Nicolas Catena"/>
    <s v="1x750"/>
    <n v="6261.7500000000009"/>
    <n v="8880"/>
    <n v="7992"/>
  </r>
  <r>
    <x v="0"/>
    <x v="0"/>
    <x v="1"/>
    <x v="2"/>
    <x v="12"/>
    <x v="3"/>
    <s v="Catena Zapata Malbec Argentino"/>
    <s v="1x750"/>
    <n v="5687.0000000000009"/>
    <n v="8880"/>
    <n v="7992"/>
  </r>
  <r>
    <x v="0"/>
    <x v="0"/>
    <x v="10"/>
    <x v="4"/>
    <x v="13"/>
    <x v="3"/>
    <s v="Cheval Des Andes 2017"/>
    <s v="1x750"/>
    <n v="7200"/>
    <n v="12120"/>
    <n v="10908"/>
  </r>
  <r>
    <x v="0"/>
    <x v="0"/>
    <x v="4"/>
    <x v="5"/>
    <x v="14"/>
    <x v="1"/>
    <s v="Alma Negra Blend"/>
    <s v="6x750"/>
    <n v="1050"/>
    <n v="1550"/>
    <n v="1395"/>
  </r>
  <r>
    <x v="0"/>
    <x v="0"/>
    <x v="1"/>
    <x v="5"/>
    <x v="15"/>
    <x v="1"/>
    <s v="Siesta Malbec"/>
    <s v="6x750"/>
    <n v="1290"/>
    <n v="1880"/>
    <n v="1692"/>
  </r>
  <r>
    <x v="0"/>
    <x v="0"/>
    <x v="10"/>
    <x v="6"/>
    <x v="16"/>
    <x v="2"/>
    <s v="Domaine Nico Parcela Grand Pére"/>
    <s v="6x750"/>
    <n v="1655.8500000000004"/>
    <n v="2550"/>
    <n v="2295"/>
  </r>
  <r>
    <x v="0"/>
    <x v="0"/>
    <x v="10"/>
    <x v="6"/>
    <x v="16"/>
    <x v="2"/>
    <s v="Domaine Nico Parcela Grand Mére"/>
    <s v="6x750"/>
    <n v="1655.8500000000004"/>
    <n v="2550"/>
    <n v="2295"/>
  </r>
  <r>
    <x v="0"/>
    <x v="0"/>
    <x v="10"/>
    <x v="6"/>
    <x v="16"/>
    <x v="3"/>
    <s v="Domaine Nico Parcela Histoire D´A"/>
    <s v="6x750"/>
    <n v="3257.9386363636372"/>
    <n v="4990"/>
    <n v="4491"/>
  </r>
  <r>
    <x v="0"/>
    <x v="0"/>
    <x v="10"/>
    <x v="6"/>
    <x v="16"/>
    <x v="3"/>
    <s v="Domaine Nico Parcela La Savante"/>
    <s v="6x750"/>
    <n v="3257.9386363636372"/>
    <n v="4990"/>
    <n v="4491"/>
  </r>
  <r>
    <x v="0"/>
    <x v="0"/>
    <x v="10"/>
    <x v="6"/>
    <x v="17"/>
    <x v="3"/>
    <s v="Caro "/>
    <s v="1x750"/>
    <n v="7618.0578512396687"/>
    <n v="11660"/>
    <n v="10494"/>
  </r>
  <r>
    <x v="0"/>
    <x v="0"/>
    <x v="10"/>
    <x v="6"/>
    <x v="18"/>
    <x v="2"/>
    <s v="Petit Caro"/>
    <s v="6x750"/>
    <n v="1633.1363636363637"/>
    <n v="2440"/>
    <n v="2196"/>
  </r>
  <r>
    <x v="0"/>
    <x v="0"/>
    <x v="1"/>
    <x v="6"/>
    <x v="19"/>
    <x v="1"/>
    <s v="Aruma Malbec"/>
    <s v="6x750"/>
    <n v="900.53719008264454"/>
    <n v="1330"/>
    <n v="1197"/>
  </r>
  <r>
    <x v="0"/>
    <x v="0"/>
    <x v="10"/>
    <x v="6"/>
    <x v="20"/>
    <x v="3"/>
    <s v="Nico By Luca"/>
    <s v="3x750"/>
    <n v="4704.6983471074382"/>
    <n v="7220"/>
    <n v="6498"/>
  </r>
  <r>
    <x v="0"/>
    <x v="0"/>
    <x v="10"/>
    <x v="6"/>
    <x v="20"/>
    <x v="2"/>
    <s v="Luca Beso de Dante"/>
    <s v="6x750"/>
    <n v="1771.8677685950415"/>
    <n v="2770"/>
    <n v="2493"/>
  </r>
  <r>
    <x v="0"/>
    <x v="0"/>
    <x v="1"/>
    <x v="6"/>
    <x v="20"/>
    <x v="2"/>
    <s v="Luca Old Malbec"/>
    <s v="6x750"/>
    <n v="1445.7272727272727"/>
    <n v="2100"/>
    <n v="1890"/>
  </r>
  <r>
    <x v="0"/>
    <x v="0"/>
    <x v="7"/>
    <x v="6"/>
    <x v="20"/>
    <x v="1"/>
    <s v="Luca Old Pinot Noir"/>
    <s v="6x750"/>
    <n v="1129.3223140495868"/>
    <n v="1770"/>
    <n v="1593"/>
  </r>
  <r>
    <x v="0"/>
    <x v="0"/>
    <x v="11"/>
    <x v="6"/>
    <x v="20"/>
    <x v="1"/>
    <s v="Luca Old Syrah"/>
    <s v="6x750"/>
    <n v="1129.3223140495868"/>
    <n v="1770"/>
    <n v="1593"/>
  </r>
  <r>
    <x v="0"/>
    <x v="1"/>
    <x v="2"/>
    <x v="6"/>
    <x v="20"/>
    <x v="1"/>
    <s v="Luca Old Chardonnay"/>
    <s v="6x750"/>
    <n v="1129.3223140495868"/>
    <n v="1770"/>
    <n v="1593"/>
  </r>
  <r>
    <x v="0"/>
    <x v="0"/>
    <x v="9"/>
    <x v="6"/>
    <x v="21"/>
    <x v="2"/>
    <s v="Nicola Catena Bonarda"/>
    <s v="4x750"/>
    <n v="2650.5"/>
    <n v="3880"/>
    <n v="3492"/>
  </r>
  <r>
    <x v="0"/>
    <x v="0"/>
    <x v="1"/>
    <x v="7"/>
    <x v="22"/>
    <x v="1"/>
    <s v="Felino Malbec"/>
    <s v="6x750"/>
    <n v="982.31"/>
    <n v="1440"/>
    <n v="1296"/>
  </r>
  <r>
    <x v="0"/>
    <x v="0"/>
    <x v="4"/>
    <x v="7"/>
    <x v="23"/>
    <x v="2"/>
    <s v="Cocodrilo Blend"/>
    <s v="6x750"/>
    <n v="1861.2"/>
    <n v="2660"/>
    <n v="2394"/>
  </r>
  <r>
    <x v="0"/>
    <x v="0"/>
    <x v="1"/>
    <x v="7"/>
    <x v="24"/>
    <x v="2"/>
    <s v="Bramare Lujan de Cuyo Malbec"/>
    <s v="6x750"/>
    <n v="2486.3000000000002"/>
    <n v="3550"/>
    <n v="3195"/>
  </r>
  <r>
    <x v="0"/>
    <x v="0"/>
    <x v="1"/>
    <x v="7"/>
    <x v="24"/>
    <x v="2"/>
    <s v="Bramare Valle de Uco Malbec"/>
    <s v="6x750"/>
    <n v="2486.3000000000002"/>
    <n v="3550"/>
    <n v="3195"/>
  </r>
  <r>
    <x v="0"/>
    <x v="0"/>
    <x v="1"/>
    <x v="8"/>
    <x v="25"/>
    <x v="1"/>
    <s v="Pequeñas Producciones Malbec"/>
    <s v="4x750"/>
    <n v="1299"/>
    <n v="1880"/>
    <n v="1692"/>
  </r>
  <r>
    <x v="0"/>
    <x v="0"/>
    <x v="0"/>
    <x v="8"/>
    <x v="25"/>
    <x v="1"/>
    <s v="Pequeñas Producciones Cab. Sauv,"/>
    <s v="4x750"/>
    <n v="1191.83"/>
    <n v="1730"/>
    <n v="1557"/>
  </r>
  <r>
    <x v="0"/>
    <x v="0"/>
    <x v="5"/>
    <x v="8"/>
    <x v="25"/>
    <x v="1"/>
    <s v="Pequeñas Producciones Cab. Franc"/>
    <s v="4x750"/>
    <n v="1191.83"/>
    <n v="1730"/>
    <n v="1557"/>
  </r>
  <r>
    <x v="0"/>
    <x v="0"/>
    <x v="0"/>
    <x v="9"/>
    <x v="26"/>
    <x v="1"/>
    <s v="Zuccardi Q Cabernet Sauvignon"/>
    <s v="6x750"/>
    <n v="787.61"/>
    <n v="1220"/>
    <n v="1098"/>
  </r>
  <r>
    <x v="0"/>
    <x v="0"/>
    <x v="5"/>
    <x v="9"/>
    <x v="26"/>
    <x v="1"/>
    <s v="Zuccardi Q Cabernet Franc"/>
    <s v="6x750"/>
    <n v="787.61"/>
    <n v="1170"/>
    <n v="1053"/>
  </r>
  <r>
    <x v="0"/>
    <x v="0"/>
    <x v="1"/>
    <x v="9"/>
    <x v="26"/>
    <x v="1"/>
    <s v="Zuccardi Q Malbec"/>
    <s v="6x750"/>
    <n v="787.61"/>
    <n v="1170"/>
    <n v="1053"/>
  </r>
  <r>
    <x v="0"/>
    <x v="0"/>
    <x v="12"/>
    <x v="9"/>
    <x v="26"/>
    <x v="1"/>
    <s v="Zuccardi Q Tempranillo"/>
    <s v="6x750"/>
    <n v="787.61"/>
    <n v="1170"/>
    <n v="1053"/>
  </r>
  <r>
    <x v="0"/>
    <x v="0"/>
    <x v="10"/>
    <x v="9"/>
    <x v="27"/>
    <x v="1"/>
    <s v="Zuccardi Concreto"/>
    <s v="6x750"/>
    <n v="1425.96"/>
    <n v="1990"/>
    <n v="1791"/>
  </r>
  <r>
    <x v="0"/>
    <x v="0"/>
    <x v="5"/>
    <x v="9"/>
    <x v="28"/>
    <x v="1"/>
    <s v="Poligonos Paraje Altamira Cab. Franc"/>
    <s v="6x750"/>
    <n v="1209.79"/>
    <n v="1770"/>
    <n v="1593"/>
  </r>
  <r>
    <x v="0"/>
    <x v="0"/>
    <x v="1"/>
    <x v="9"/>
    <x v="28"/>
    <x v="1"/>
    <s v="Poligonos Paraje Altamira Malbec"/>
    <s v="6x750"/>
    <n v="1209.79"/>
    <n v="1770"/>
    <n v="1593"/>
  </r>
  <r>
    <x v="0"/>
    <x v="0"/>
    <x v="5"/>
    <x v="9"/>
    <x v="28"/>
    <x v="1"/>
    <s v="Poligonos Paraje San Pablo Cab. Franc"/>
    <s v="6x750"/>
    <n v="1209.79"/>
    <n v="1770"/>
    <n v="1593"/>
  </r>
  <r>
    <x v="0"/>
    <x v="0"/>
    <x v="1"/>
    <x v="9"/>
    <x v="28"/>
    <x v="1"/>
    <s v="Poligonos Paraje San Pablo Malbec"/>
    <s v="6x750"/>
    <n v="1209.79"/>
    <n v="1770"/>
    <n v="1593"/>
  </r>
  <r>
    <x v="0"/>
    <x v="0"/>
    <x v="0"/>
    <x v="10"/>
    <x v="29"/>
    <x v="0"/>
    <s v="Finca Sophenia Reserva Cab. Sauv"/>
    <s v="6x750"/>
    <n v="396.75"/>
    <n v="580"/>
    <n v="522"/>
  </r>
  <r>
    <x v="0"/>
    <x v="0"/>
    <x v="5"/>
    <x v="10"/>
    <x v="29"/>
    <x v="0"/>
    <s v="Finca Sophenia Reserva Cab. Franc"/>
    <s v="6x750"/>
    <n v="396.75"/>
    <n v="580"/>
    <n v="522"/>
  </r>
  <r>
    <x v="0"/>
    <x v="0"/>
    <x v="1"/>
    <x v="10"/>
    <x v="29"/>
    <x v="0"/>
    <s v="Finca Sophenia Reserva Malbec"/>
    <s v="6x750"/>
    <n v="396.75"/>
    <n v="580"/>
    <n v="522"/>
  </r>
  <r>
    <x v="0"/>
    <x v="0"/>
    <x v="4"/>
    <x v="10"/>
    <x v="30"/>
    <x v="1"/>
    <s v="Finca Sophenia Antisynthesis"/>
    <s v="6x750"/>
    <n v="897"/>
    <n v="1330"/>
    <n v="1197"/>
  </r>
  <r>
    <x v="0"/>
    <x v="0"/>
    <x v="1"/>
    <x v="10"/>
    <x v="31"/>
    <x v="1"/>
    <s v="Finca Sophenia Synthesis Malbec"/>
    <s v="6x750"/>
    <n v="828"/>
    <n v="1220"/>
    <n v="1098"/>
  </r>
  <r>
    <x v="0"/>
    <x v="0"/>
    <x v="4"/>
    <x v="10"/>
    <x v="31"/>
    <x v="1"/>
    <s v="Finca Sophenia Synthesis Blend"/>
    <s v="6x750"/>
    <n v="1242.01"/>
    <n v="1770"/>
    <n v="1593"/>
  </r>
  <r>
    <x v="0"/>
    <x v="2"/>
    <x v="6"/>
    <x v="11"/>
    <x v="32"/>
    <x v="0"/>
    <s v="Lagarde Organic Rosé"/>
    <s v="6x750"/>
    <n v="363"/>
    <n v="550"/>
    <n v="495"/>
  </r>
  <r>
    <x v="0"/>
    <x v="0"/>
    <x v="1"/>
    <x v="11"/>
    <x v="32"/>
    <x v="0"/>
    <s v="Lagarde Organic Malbec"/>
    <s v="6x750"/>
    <n v="363"/>
    <n v="550"/>
    <n v="495"/>
  </r>
  <r>
    <x v="0"/>
    <x v="0"/>
    <x v="5"/>
    <x v="11"/>
    <x v="33"/>
    <x v="1"/>
    <s v="Lagarde Guarda Cab. Franc "/>
    <s v="6x750"/>
    <n v="627"/>
    <n v="920"/>
    <n v="828"/>
  </r>
  <r>
    <x v="0"/>
    <x v="0"/>
    <x v="1"/>
    <x v="11"/>
    <x v="33"/>
    <x v="1"/>
    <s v="Lagarde Guarda Malbec DOC"/>
    <s v="6x750"/>
    <n v="627"/>
    <n v="920"/>
    <n v="828"/>
  </r>
  <r>
    <x v="0"/>
    <x v="0"/>
    <x v="1"/>
    <x v="12"/>
    <x v="34"/>
    <x v="1"/>
    <s v="Colomé Estate Malbec"/>
    <s v="6x750"/>
    <n v="618.78"/>
    <n v="920"/>
    <n v="828"/>
  </r>
  <r>
    <x v="0"/>
    <x v="0"/>
    <x v="11"/>
    <x v="12"/>
    <x v="35"/>
    <x v="0"/>
    <s v="Colomé Lote Especial Syrah"/>
    <s v="6x750"/>
    <n v="444.6"/>
    <n v="660"/>
    <n v="594"/>
  </r>
  <r>
    <x v="0"/>
    <x v="0"/>
    <x v="13"/>
    <x v="12"/>
    <x v="35"/>
    <x v="0"/>
    <s v="Colomé Lote Especial Tannat"/>
    <s v="6x750"/>
    <n v="403.31"/>
    <n v="620"/>
    <n v="558"/>
  </r>
  <r>
    <x v="0"/>
    <x v="0"/>
    <x v="1"/>
    <x v="13"/>
    <x v="36"/>
    <x v="1"/>
    <s v="Laborum Malbec"/>
    <s v="6x750"/>
    <n v="589.04"/>
    <n v="880"/>
    <n v="792"/>
  </r>
  <r>
    <x v="0"/>
    <x v="0"/>
    <x v="13"/>
    <x v="13"/>
    <x v="36"/>
    <x v="1"/>
    <s v="Laborum Tannat"/>
    <s v="6x750"/>
    <n v="589.04"/>
    <n v="880"/>
    <n v="792"/>
  </r>
  <r>
    <x v="0"/>
    <x v="0"/>
    <x v="1"/>
    <x v="13"/>
    <x v="37"/>
    <x v="1"/>
    <s v="Laborum Parcela Malbec - Finca Río Seco"/>
    <s v="3x750"/>
    <n v="820.49"/>
    <n v="1220"/>
    <n v="1098"/>
  </r>
  <r>
    <x v="0"/>
    <x v="0"/>
    <x v="4"/>
    <x v="14"/>
    <x v="38"/>
    <x v="1"/>
    <s v="Clos de los 7"/>
    <s v="6x750"/>
    <n v="656"/>
    <n v="1060"/>
    <n v="954"/>
  </r>
  <r>
    <x v="0"/>
    <x v="0"/>
    <x v="14"/>
    <x v="15"/>
    <x v="39"/>
    <x v="1"/>
    <s v="San Pedro Yacochuya Torrontés"/>
    <s v="6x750"/>
    <n v="644.87603305785126"/>
    <n v="950"/>
    <n v="855"/>
  </r>
  <r>
    <x v="0"/>
    <x v="0"/>
    <x v="4"/>
    <x v="15"/>
    <x v="39"/>
    <x v="1"/>
    <s v="San Pedro Yacochuya Tinto"/>
    <s v="6x750"/>
    <n v="1289.0082644628101"/>
    <n v="1880"/>
    <n v="1692"/>
  </r>
  <r>
    <x v="0"/>
    <x v="0"/>
    <x v="1"/>
    <x v="15"/>
    <x v="40"/>
    <x v="3"/>
    <s v="Yacochuya Malbec"/>
    <s v="6x750"/>
    <n v="2850.9917355371904"/>
    <n v="4100"/>
    <n v="3690"/>
  </r>
  <r>
    <x v="0"/>
    <x v="0"/>
    <x v="10"/>
    <x v="16"/>
    <x v="41"/>
    <x v="1"/>
    <s v="Mosquita Muerta "/>
    <s v="3x750"/>
    <n v="980.02"/>
    <n v="1440"/>
    <n v="1296"/>
  </r>
  <r>
    <x v="0"/>
    <x v="0"/>
    <x v="10"/>
    <x v="16"/>
    <x v="42"/>
    <x v="1"/>
    <s v="Sapo de otro pozo"/>
    <s v="3x750"/>
    <n v="770.02"/>
    <n v="1100"/>
    <n v="990"/>
  </r>
  <r>
    <x v="0"/>
    <x v="0"/>
    <x v="10"/>
    <x v="16"/>
    <x v="43"/>
    <x v="1"/>
    <s v="Pispi"/>
    <s v="3x750"/>
    <n v="635"/>
    <n v="920"/>
    <n v="828"/>
  </r>
  <r>
    <x v="0"/>
    <x v="0"/>
    <x v="0"/>
    <x v="17"/>
    <x v="44"/>
    <x v="1"/>
    <s v="Monteagrelo Cab. Sauv."/>
    <s v="6x750"/>
    <n v="704.65"/>
    <n v="1080"/>
    <n v="972"/>
  </r>
  <r>
    <x v="0"/>
    <x v="0"/>
    <x v="5"/>
    <x v="17"/>
    <x v="44"/>
    <x v="1"/>
    <s v="Monteagrelo Cab. Franc"/>
    <s v="6x750"/>
    <n v="704.65"/>
    <n v="1080"/>
    <n v="972"/>
  </r>
  <r>
    <x v="0"/>
    <x v="0"/>
    <x v="1"/>
    <x v="17"/>
    <x v="44"/>
    <x v="1"/>
    <s v="Monteagrelo Malbec"/>
    <s v="6x750"/>
    <n v="704.65"/>
    <n v="1080"/>
    <n v="972"/>
  </r>
  <r>
    <x v="0"/>
    <x v="1"/>
    <x v="10"/>
    <x v="17"/>
    <x v="45"/>
    <x v="1"/>
    <s v="Bressia Lagrima Canela"/>
    <s v="6x750"/>
    <n v="1153.45"/>
    <n v="1770"/>
    <n v="1593"/>
  </r>
  <r>
    <x v="0"/>
    <x v="0"/>
    <x v="10"/>
    <x v="17"/>
    <x v="46"/>
    <x v="1"/>
    <s v="Bressia Profundo"/>
    <s v="6x750"/>
    <n v="1238.45"/>
    <n v="1880"/>
    <n v="1692"/>
  </r>
  <r>
    <x v="0"/>
    <x v="0"/>
    <x v="7"/>
    <x v="17"/>
    <x v="47"/>
    <x v="2"/>
    <s v="Bressia Piel Negra"/>
    <s v="6x750"/>
    <n v="1473.8999999999999"/>
    <n v="2220"/>
    <n v="1998"/>
  </r>
  <r>
    <x v="0"/>
    <x v="0"/>
    <x v="10"/>
    <x v="17"/>
    <x v="48"/>
    <x v="3"/>
    <s v="Bressia Conjuro"/>
    <s v="6x750"/>
    <n v="3015.2000000000003"/>
    <n v="4880"/>
    <n v="4392"/>
  </r>
  <r>
    <x v="0"/>
    <x v="0"/>
    <x v="1"/>
    <x v="18"/>
    <x v="49"/>
    <x v="1"/>
    <s v="Angelo Mattei Malbec"/>
    <s v="6x750"/>
    <n v="606.06060606060601"/>
    <n v="1100"/>
    <n v="990"/>
  </r>
  <r>
    <x v="0"/>
    <x v="0"/>
    <x v="1"/>
    <x v="19"/>
    <x v="50"/>
    <x v="0"/>
    <s v="Marchiori &amp; Barraud Malbec"/>
    <s v="6x750"/>
    <n v="381.81150000000002"/>
    <n v="550"/>
    <n v="495"/>
  </r>
  <r>
    <x v="0"/>
    <x v="0"/>
    <x v="5"/>
    <x v="19"/>
    <x v="50"/>
    <x v="0"/>
    <s v="Marchiori &amp; Barraud Cab. Sauv."/>
    <s v="6x750"/>
    <n v="381.81150000000002"/>
    <n v="550"/>
    <n v="495"/>
  </r>
  <r>
    <x v="0"/>
    <x v="1"/>
    <x v="2"/>
    <x v="19"/>
    <x v="50"/>
    <x v="0"/>
    <s v="Marchiori &amp; Barraud Chardonnay"/>
    <s v="6x750"/>
    <n v="381.81150000000002"/>
    <n v="550"/>
    <n v="495"/>
  </r>
  <r>
    <x v="0"/>
    <x v="0"/>
    <x v="1"/>
    <x v="19"/>
    <x v="51"/>
    <x v="1"/>
    <s v="Marchiori &amp; Barraud Cuartel 2 Malbec"/>
    <s v="6x750"/>
    <n v="966"/>
    <n v="1390"/>
    <n v="1251"/>
  </r>
  <r>
    <x v="0"/>
    <x v="0"/>
    <x v="10"/>
    <x v="19"/>
    <x v="52"/>
    <x v="2"/>
    <s v="Marchiori &amp; Barraud Hornero"/>
    <s v="6x750"/>
    <n v="1725"/>
    <n v="2500"/>
    <n v="2250"/>
  </r>
  <r>
    <x v="0"/>
    <x v="1"/>
    <x v="2"/>
    <x v="20"/>
    <x v="53"/>
    <x v="0"/>
    <s v="Tapiz Orgánico Chardonnay"/>
    <s v="6x750"/>
    <n v="433.19008264462815"/>
    <n v="660"/>
    <n v="594"/>
  </r>
  <r>
    <x v="0"/>
    <x v="0"/>
    <x v="1"/>
    <x v="20"/>
    <x v="53"/>
    <x v="0"/>
    <s v="Tapiz Orgánico Malbec"/>
    <s v="6x750"/>
    <n v="433.19008264462815"/>
    <n v="660"/>
    <n v="594"/>
  </r>
  <r>
    <x v="0"/>
    <x v="0"/>
    <x v="1"/>
    <x v="20"/>
    <x v="54"/>
    <x v="1"/>
    <s v="Tapiz Alta Collection Malbec"/>
    <s v="6x750"/>
    <n v="576"/>
    <n v="880"/>
    <n v="792"/>
  </r>
  <r>
    <x v="0"/>
    <x v="0"/>
    <x v="0"/>
    <x v="20"/>
    <x v="54"/>
    <x v="1"/>
    <s v="Tapiz Alta Collection Cab. Sauv."/>
    <s v="6x750"/>
    <n v="576"/>
    <n v="880"/>
    <n v="792"/>
  </r>
  <r>
    <x v="0"/>
    <x v="0"/>
    <x v="5"/>
    <x v="20"/>
    <x v="54"/>
    <x v="1"/>
    <s v="Tapiz Alta Collection Cab. Franc"/>
    <s v="6x750"/>
    <n v="576"/>
    <n v="880"/>
    <n v="792"/>
  </r>
  <r>
    <x v="0"/>
    <x v="0"/>
    <x v="10"/>
    <x v="20"/>
    <x v="55"/>
    <x v="1"/>
    <s v="Tapiz Gran Rva. Selección de Barrica 2015"/>
    <s v="6x750"/>
    <n v="1259.1074380165289"/>
    <n v="1880"/>
    <n v="1692"/>
  </r>
  <r>
    <x v="0"/>
    <x v="0"/>
    <x v="10"/>
    <x v="20"/>
    <x v="56"/>
    <x v="2"/>
    <s v="Tapiz Gran Rva. Black Tears 2014"/>
    <s v="6x750"/>
    <n v="1606.611570247934"/>
    <n v="2440"/>
    <n v="2196"/>
  </r>
  <r>
    <x v="0"/>
    <x v="0"/>
    <x v="10"/>
    <x v="20"/>
    <x v="57"/>
    <x v="2"/>
    <s v="Las Notas de Jean Claude"/>
    <s v="6x750"/>
    <n v="2425.3884297520663"/>
    <n v="3660"/>
    <n v="3294"/>
  </r>
  <r>
    <x v="0"/>
    <x v="0"/>
    <x v="1"/>
    <x v="21"/>
    <x v="58"/>
    <x v="1"/>
    <s v="Achaval Ferrer Malbec "/>
    <s v="6x750"/>
    <n v="807.5"/>
    <n v="1220"/>
    <n v="1098"/>
  </r>
  <r>
    <x v="0"/>
    <x v="0"/>
    <x v="0"/>
    <x v="21"/>
    <x v="58"/>
    <x v="1"/>
    <s v="Achaval Ferrer Cab. Sauv."/>
    <s v="6x750"/>
    <n v="807.5"/>
    <n v="1220"/>
    <n v="1098"/>
  </r>
  <r>
    <x v="0"/>
    <x v="0"/>
    <x v="5"/>
    <x v="21"/>
    <x v="58"/>
    <x v="1"/>
    <s v="Achaval Ferrer Cab. Franc"/>
    <s v="6x750"/>
    <n v="807.5"/>
    <n v="1220"/>
    <n v="1098"/>
  </r>
  <r>
    <x v="0"/>
    <x v="0"/>
    <x v="10"/>
    <x v="21"/>
    <x v="59"/>
    <x v="2"/>
    <s v="Achaval Ferrer Quimera"/>
    <s v="6x750"/>
    <n v="2037.75"/>
    <n v="2990"/>
    <n v="2691"/>
  </r>
  <r>
    <x v="0"/>
    <x v="0"/>
    <x v="10"/>
    <x v="21"/>
    <x v="60"/>
    <x v="3"/>
    <s v="Achaval Ferrer Finca Altamira"/>
    <s v="6x750"/>
    <n v="7576.2500000000009"/>
    <n v="11100"/>
    <n v="9990"/>
  </r>
  <r>
    <x v="0"/>
    <x v="0"/>
    <x v="10"/>
    <x v="21"/>
    <x v="60"/>
    <x v="3"/>
    <s v="Achaval Ferrer Finca Mirador"/>
    <s v="6x750"/>
    <n v="7576.2500000000009"/>
    <n v="11100"/>
    <n v="9990"/>
  </r>
  <r>
    <x v="0"/>
    <x v="0"/>
    <x v="10"/>
    <x v="21"/>
    <x v="60"/>
    <x v="3"/>
    <s v="Achaval Ferrer Finca Bella Vista"/>
    <s v="6x750"/>
    <n v="7576.2500000000009"/>
    <n v="11100"/>
    <n v="9990"/>
  </r>
  <r>
    <x v="0"/>
    <x v="1"/>
    <x v="1"/>
    <x v="22"/>
    <x v="61"/>
    <x v="0"/>
    <s v="Indomable Blanc de Malbec"/>
    <s v="6x750"/>
    <n v="328.05"/>
    <n v="500"/>
    <n v="450"/>
  </r>
  <r>
    <x v="0"/>
    <x v="0"/>
    <x v="1"/>
    <x v="22"/>
    <x v="61"/>
    <x v="0"/>
    <s v="Indomable Blend de Malbec "/>
    <s v="6x750"/>
    <n v="415.35"/>
    <n v="730"/>
    <n v="657"/>
  </r>
  <r>
    <x v="0"/>
    <x v="0"/>
    <x v="5"/>
    <x v="22"/>
    <x v="62"/>
    <x v="2"/>
    <s v="Barrabas Cab. Franc"/>
    <s v="6x750"/>
    <n v="1533.15"/>
    <n v="2440"/>
    <n v="2196"/>
  </r>
  <r>
    <x v="0"/>
    <x v="0"/>
    <x v="1"/>
    <x v="22"/>
    <x v="63"/>
    <x v="2"/>
    <s v="Colosso Malbec "/>
    <s v="6x750"/>
    <n v="1372.05"/>
    <n v="2100"/>
    <n v="1890"/>
  </r>
  <r>
    <x v="0"/>
    <x v="0"/>
    <x v="10"/>
    <x v="22"/>
    <x v="64"/>
    <x v="2"/>
    <s v="Maldito"/>
    <s v="4x750"/>
    <n v="1866.15"/>
    <n v="2770"/>
    <n v="2493"/>
  </r>
  <r>
    <x v="0"/>
    <x v="0"/>
    <x v="1"/>
    <x v="22"/>
    <x v="65"/>
    <x v="1"/>
    <s v="Arrogante Malbec"/>
    <s v="6x750"/>
    <n v="717.75"/>
    <n v="1100"/>
    <n v="990"/>
  </r>
  <r>
    <x v="0"/>
    <x v="0"/>
    <x v="11"/>
    <x v="22"/>
    <x v="65"/>
    <x v="1"/>
    <s v="Arrogante Syrah"/>
    <s v="6x750"/>
    <n v="1038.1500000000001"/>
    <n v="1550"/>
    <n v="1395"/>
  </r>
  <r>
    <x v="0"/>
    <x v="0"/>
    <x v="1"/>
    <x v="22"/>
    <x v="66"/>
    <x v="3"/>
    <s v="Judas Malbec"/>
    <s v="6x750"/>
    <n v="3999.5"/>
    <n v="6440"/>
    <n v="5796"/>
  </r>
  <r>
    <x v="0"/>
    <x v="0"/>
    <x v="4"/>
    <x v="22"/>
    <x v="66"/>
    <x v="3"/>
    <s v="Judas Blend"/>
    <s v="6x750"/>
    <n v="4571.5"/>
    <n v="7330"/>
    <n v="6597"/>
  </r>
  <r>
    <x v="0"/>
    <x v="0"/>
    <x v="0"/>
    <x v="23"/>
    <x v="67"/>
    <x v="1"/>
    <s v="Salentein Reserva Cab. Sauv."/>
    <s v="6x750"/>
    <n v="521.20000000000005"/>
    <n v="770"/>
    <n v="693"/>
  </r>
  <r>
    <x v="0"/>
    <x v="0"/>
    <x v="5"/>
    <x v="23"/>
    <x v="67"/>
    <x v="0"/>
    <s v="Salentein Reserva Cab. Franc"/>
    <s v="6x750"/>
    <n v="538.82000000000005"/>
    <n v="730"/>
    <n v="657"/>
  </r>
  <r>
    <x v="0"/>
    <x v="0"/>
    <x v="1"/>
    <x v="23"/>
    <x v="67"/>
    <x v="1"/>
    <s v="Salentein Reserva Malbec"/>
    <s v="6x750"/>
    <n v="521.20000000000005"/>
    <n v="770"/>
    <n v="693"/>
  </r>
  <r>
    <x v="0"/>
    <x v="0"/>
    <x v="1"/>
    <x v="23"/>
    <x v="68"/>
    <x v="1"/>
    <s v="Numina Malbec"/>
    <s v="6x750"/>
    <n v="750.38"/>
    <n v="1100"/>
    <n v="990"/>
  </r>
  <r>
    <x v="0"/>
    <x v="0"/>
    <x v="4"/>
    <x v="23"/>
    <x v="68"/>
    <x v="1"/>
    <s v="Numina Gran Corte"/>
    <s v="6x750"/>
    <n v="972.72"/>
    <n v="1440"/>
    <n v="1296"/>
  </r>
  <r>
    <x v="0"/>
    <x v="0"/>
    <x v="1"/>
    <x v="23"/>
    <x v="69"/>
    <x v="2"/>
    <s v="Primus Malbec"/>
    <s v="6x750"/>
    <n v="2125"/>
    <n v="2990"/>
    <n v="2691"/>
  </r>
  <r>
    <x v="0"/>
    <x v="0"/>
    <x v="1"/>
    <x v="24"/>
    <x v="70"/>
    <x v="0"/>
    <s v="Durigutti Malbec"/>
    <s v="6x750"/>
    <n v="426"/>
    <n v="620"/>
    <n v="558"/>
  </r>
  <r>
    <x v="0"/>
    <x v="0"/>
    <x v="5"/>
    <x v="24"/>
    <x v="70"/>
    <x v="0"/>
    <s v="Durigutti Cab. Franc"/>
    <s v="6x750"/>
    <n v="426"/>
    <n v="620"/>
    <n v="558"/>
  </r>
  <r>
    <x v="0"/>
    <x v="0"/>
    <x v="0"/>
    <x v="24"/>
    <x v="70"/>
    <x v="0"/>
    <s v="Durigutti Cab. Sauv."/>
    <s v="6x750"/>
    <n v="426"/>
    <n v="620"/>
    <n v="558"/>
  </r>
  <r>
    <x v="0"/>
    <x v="0"/>
    <x v="1"/>
    <x v="24"/>
    <x v="71"/>
    <x v="1"/>
    <s v="Durigutti Reserva Malbec"/>
    <s v="6x750"/>
    <n v="660"/>
    <n v="950"/>
    <n v="855"/>
  </r>
  <r>
    <x v="0"/>
    <x v="0"/>
    <x v="0"/>
    <x v="24"/>
    <x v="71"/>
    <x v="1"/>
    <s v="Durigutti Reserva Cab. Sauv."/>
    <s v="6x750"/>
    <n v="660"/>
    <n v="950"/>
    <n v="855"/>
  </r>
  <r>
    <x v="0"/>
    <x v="0"/>
    <x v="5"/>
    <x v="24"/>
    <x v="71"/>
    <x v="1"/>
    <s v="Durigutti Reserva Cab. Franc"/>
    <s v="6x750"/>
    <n v="660"/>
    <n v="950"/>
    <n v="855"/>
  </r>
  <r>
    <x v="0"/>
    <x v="0"/>
    <x v="4"/>
    <x v="24"/>
    <x v="71"/>
    <x v="1"/>
    <s v="Durigutti Reserva Corte Único"/>
    <s v="6x750"/>
    <n v="660"/>
    <n v="950"/>
    <n v="855"/>
  </r>
  <r>
    <x v="0"/>
    <x v="0"/>
    <x v="1"/>
    <x v="24"/>
    <x v="72"/>
    <x v="1"/>
    <s v="Carmela Durigutti Malbec"/>
    <s v="6x750"/>
    <n v="540"/>
    <n v="770"/>
    <n v="693"/>
  </r>
  <r>
    <x v="0"/>
    <x v="0"/>
    <x v="1"/>
    <x v="24"/>
    <x v="73"/>
    <x v="1"/>
    <s v="Carmela Durigutti Reserva Malbec"/>
    <s v="6x750"/>
    <n v="780"/>
    <n v="1100"/>
    <n v="990"/>
  </r>
  <r>
    <x v="0"/>
    <x v="1"/>
    <x v="15"/>
    <x v="24"/>
    <x v="74"/>
    <x v="1"/>
    <s v="Proyecto las compuertas Criolla Parral"/>
    <s v="6x750"/>
    <n v="570"/>
    <n v="840"/>
    <n v="756"/>
  </r>
  <r>
    <x v="0"/>
    <x v="0"/>
    <x v="16"/>
    <x v="24"/>
    <x v="74"/>
    <x v="1"/>
    <s v="Proyecto las compuertas Cordisco"/>
    <s v="6x750"/>
    <n v="660"/>
    <n v="990"/>
    <n v="891"/>
  </r>
  <r>
    <x v="0"/>
    <x v="0"/>
    <x v="1"/>
    <x v="24"/>
    <x v="74"/>
    <x v="1"/>
    <s v="Proyecto las compuertas Malbec 5 suelos"/>
    <s v="6x750"/>
    <n v="960"/>
    <n v="1550"/>
    <n v="1395"/>
  </r>
  <r>
    <x v="0"/>
    <x v="0"/>
    <x v="5"/>
    <x v="24"/>
    <x v="74"/>
    <x v="1"/>
    <s v="Proyecto las compuertas Cab. Franc"/>
    <s v="6x750"/>
    <n v="1260"/>
    <n v="1880"/>
    <n v="1692"/>
  </r>
  <r>
    <x v="0"/>
    <x v="0"/>
    <x v="1"/>
    <x v="24"/>
    <x v="74"/>
    <x v="2"/>
    <s v="Proyecto las compuertas Malbec 1914"/>
    <s v="6x750"/>
    <n v="1560"/>
    <n v="2330"/>
    <n v="2097"/>
  </r>
  <r>
    <x v="0"/>
    <x v="0"/>
    <x v="1"/>
    <x v="25"/>
    <x v="75"/>
    <x v="0"/>
    <s v="Pascual Toso Estate Malbec"/>
    <s v="6x750"/>
    <n v="255.78842975206609"/>
    <n v="470"/>
    <n v="423"/>
  </r>
  <r>
    <x v="0"/>
    <x v="0"/>
    <x v="0"/>
    <x v="25"/>
    <x v="75"/>
    <x v="0"/>
    <s v="Pascual Toso Estate Cab. Sauv."/>
    <s v="6x750"/>
    <n v="255.78842975206609"/>
    <n v="470"/>
    <n v="423"/>
  </r>
  <r>
    <x v="0"/>
    <x v="0"/>
    <x v="4"/>
    <x v="25"/>
    <x v="76"/>
    <x v="0"/>
    <s v="Pascual Toso Barrancas Blend"/>
    <s v="6x750"/>
    <n v="333.79383921863263"/>
    <n v="700"/>
    <n v="630"/>
  </r>
  <r>
    <x v="0"/>
    <x v="2"/>
    <x v="6"/>
    <x v="25"/>
    <x v="76"/>
    <x v="0"/>
    <s v="Pascual Toso Barrancas Rosé"/>
    <s v="6x750"/>
    <n v="333.79383921863263"/>
    <n v="700"/>
    <n v="630"/>
  </r>
  <r>
    <x v="0"/>
    <x v="0"/>
    <x v="1"/>
    <x v="25"/>
    <x v="77"/>
    <x v="1"/>
    <s v="Pascual Toso Reserva Malbec"/>
    <s v="6x750"/>
    <n v="405.21184573002756"/>
    <n v="930"/>
    <n v="837"/>
  </r>
  <r>
    <x v="0"/>
    <x v="0"/>
    <x v="0"/>
    <x v="25"/>
    <x v="77"/>
    <x v="1"/>
    <s v="Pascual Toso Reserva Cab. Sauv."/>
    <s v="6x750"/>
    <n v="405.21184573002756"/>
    <n v="930"/>
    <n v="837"/>
  </r>
  <r>
    <x v="0"/>
    <x v="0"/>
    <x v="11"/>
    <x v="25"/>
    <x v="78"/>
    <x v="1"/>
    <s v="Pascual Toso Alta Syrah"/>
    <s v="6x750"/>
    <n v="947.21652892561974"/>
    <n v="1990"/>
    <n v="1791"/>
  </r>
  <r>
    <x v="0"/>
    <x v="0"/>
    <x v="1"/>
    <x v="25"/>
    <x v="78"/>
    <x v="1"/>
    <s v="Pascual Toso Alta Malbec"/>
    <s v="6x750"/>
    <n v="947.21652892561974"/>
    <n v="1990"/>
    <n v="1791"/>
  </r>
  <r>
    <x v="0"/>
    <x v="0"/>
    <x v="0"/>
    <x v="25"/>
    <x v="78"/>
    <x v="1"/>
    <s v="Pascual Toso Alta Cab. Sauv."/>
    <s v="6x750"/>
    <n v="947.21652892561974"/>
    <n v="1990"/>
    <n v="1791"/>
  </r>
  <r>
    <x v="0"/>
    <x v="0"/>
    <x v="10"/>
    <x v="25"/>
    <x v="79"/>
    <x v="2"/>
    <s v="Finca Pedregal"/>
    <s v="6x750"/>
    <n v="1220.6911845730028"/>
    <n v="2770"/>
    <n v="2493"/>
  </r>
  <r>
    <x v="0"/>
    <x v="0"/>
    <x v="4"/>
    <x v="25"/>
    <x v="80"/>
    <x v="3"/>
    <s v="Magdalena Toso by Paul Hobbs"/>
    <s v="3x750"/>
    <n v="2156.1055096418731"/>
    <n v="4990"/>
    <n v="4491"/>
  </r>
  <r>
    <x v="0"/>
    <x v="0"/>
    <x v="4"/>
    <x v="25"/>
    <x v="81"/>
    <x v="3"/>
    <s v="Pascual Toso 125 años Red Blend x1500ml"/>
    <s v="1x1500"/>
    <n v="3278.56"/>
    <n v="5550"/>
    <n v="4995"/>
  </r>
  <r>
    <x v="0"/>
    <x v="0"/>
    <x v="4"/>
    <x v="26"/>
    <x v="82"/>
    <x v="2"/>
    <s v="Iscay Malbec - Cabernet Franc"/>
    <s v="6x750"/>
    <n v="2324.96"/>
    <n v="3660"/>
    <n v="3294"/>
  </r>
  <r>
    <x v="0"/>
    <x v="0"/>
    <x v="4"/>
    <x v="26"/>
    <x v="82"/>
    <x v="2"/>
    <s v="Iscay Syrah / Viognier"/>
    <s v="6x750"/>
    <n v="2324.9600071651807"/>
    <n v="3660"/>
    <n v="3294"/>
  </r>
  <r>
    <x v="0"/>
    <x v="0"/>
    <x v="1"/>
    <x v="26"/>
    <x v="83"/>
    <x v="2"/>
    <s v="Trapiche Terroir Series Ambrosia "/>
    <s v="6x750"/>
    <n v="1829.9258944867825"/>
    <n v="2770"/>
    <n v="2493"/>
  </r>
  <r>
    <x v="0"/>
    <x v="0"/>
    <x v="1"/>
    <x v="26"/>
    <x v="83"/>
    <x v="2"/>
    <s v="Trapiche Terroir Series F. Coletto"/>
    <s v="6x750"/>
    <n v="2287.0160238196654"/>
    <n v="3440"/>
    <n v="3096"/>
  </r>
  <r>
    <x v="0"/>
    <x v="0"/>
    <x v="1"/>
    <x v="26"/>
    <x v="84"/>
    <x v="2"/>
    <s v="Gran Medalla Malbec"/>
    <s v="6x750"/>
    <n v="1367.6518138793404"/>
    <n v="2100"/>
    <n v="1890"/>
  </r>
  <r>
    <x v="0"/>
    <x v="0"/>
    <x v="5"/>
    <x v="26"/>
    <x v="84"/>
    <x v="2"/>
    <s v="Gran Medalla Cab. Franc"/>
    <s v="6x750"/>
    <n v="1367.6518138793404"/>
    <n v="2100"/>
    <n v="1890"/>
  </r>
  <r>
    <x v="0"/>
    <x v="0"/>
    <x v="0"/>
    <x v="26"/>
    <x v="84"/>
    <x v="2"/>
    <s v="Gran Medalla Cab. Sauv."/>
    <s v="6x750"/>
    <n v="1367.6518138793404"/>
    <n v="2100"/>
    <n v="1890"/>
  </r>
  <r>
    <x v="0"/>
    <x v="0"/>
    <x v="4"/>
    <x v="26"/>
    <x v="85"/>
    <x v="1"/>
    <s v="Medalla Blend"/>
    <s v="6x750"/>
    <n v="720.75279953556014"/>
    <n v="1060"/>
    <n v="954"/>
  </r>
  <r>
    <x v="0"/>
    <x v="0"/>
    <x v="1"/>
    <x v="26"/>
    <x v="85"/>
    <x v="1"/>
    <s v="Medalla Malbec"/>
    <s v="6x750"/>
    <n v="720.75279953556014"/>
    <n v="1060"/>
    <n v="954"/>
  </r>
  <r>
    <x v="0"/>
    <x v="0"/>
    <x v="0"/>
    <x v="26"/>
    <x v="85"/>
    <x v="1"/>
    <s v="Medalla Cab. Sauv."/>
    <s v="6x750"/>
    <n v="720.75279953556014"/>
    <n v="1060"/>
    <n v="954"/>
  </r>
  <r>
    <x v="0"/>
    <x v="0"/>
    <x v="0"/>
    <x v="26"/>
    <x v="86"/>
    <x v="1"/>
    <s v="Fond de Cave Gran Reserva Cab. Sauv."/>
    <s v="6x750"/>
    <n v="828.83442138750002"/>
    <n v="1170"/>
    <n v="1053"/>
  </r>
  <r>
    <x v="0"/>
    <x v="0"/>
    <x v="1"/>
    <x v="26"/>
    <x v="86"/>
    <x v="1"/>
    <s v="Fond de Cave Gran Reserva Malbec"/>
    <s v="6x750"/>
    <n v="828.83442138750002"/>
    <n v="1170"/>
    <n v="1053"/>
  </r>
  <r>
    <x v="0"/>
    <x v="0"/>
    <x v="4"/>
    <x v="26"/>
    <x v="86"/>
    <x v="1"/>
    <s v="Fond de Cave Gran Reserva Blend "/>
    <s v="6x750"/>
    <n v="828.83442138750002"/>
    <n v="1170"/>
    <n v="1053"/>
  </r>
  <r>
    <x v="0"/>
    <x v="0"/>
    <x v="7"/>
    <x v="26"/>
    <x v="87"/>
    <x v="1"/>
    <s v="Costa &amp; Pampa Pinot Noir"/>
    <s v="6x750"/>
    <n v="793.00726367676009"/>
    <n v="1170"/>
    <n v="1053"/>
  </r>
  <r>
    <x v="0"/>
    <x v="1"/>
    <x v="3"/>
    <x v="26"/>
    <x v="87"/>
    <x v="1"/>
    <s v="Costa &amp; Pampa S. Blanc"/>
    <s v="6x750"/>
    <n v="793.00726367676009"/>
    <n v="1170"/>
    <n v="1053"/>
  </r>
  <r>
    <x v="0"/>
    <x v="1"/>
    <x v="2"/>
    <x v="26"/>
    <x v="87"/>
    <x v="1"/>
    <s v="Costa &amp; Pampa Chardonnay"/>
    <s v="6x750"/>
    <n v="793.00726367676009"/>
    <n v="1170"/>
    <n v="1053"/>
  </r>
  <r>
    <x v="0"/>
    <x v="0"/>
    <x v="1"/>
    <x v="27"/>
    <x v="88"/>
    <x v="2"/>
    <s v="Sagrado El Pedernal Malbec"/>
    <s v="6x750"/>
    <n v="1645.5690702000002"/>
    <n v="2500"/>
    <n v="2250"/>
  </r>
  <r>
    <x v="0"/>
    <x v="0"/>
    <x v="4"/>
    <x v="27"/>
    <x v="89"/>
    <x v="2"/>
    <s v="Mora Negra"/>
    <s v="6x750"/>
    <n v="1504.37709290616"/>
    <n v="2390"/>
    <n v="2151"/>
  </r>
  <r>
    <x v="0"/>
    <x v="0"/>
    <x v="11"/>
    <x v="27"/>
    <x v="90"/>
    <x v="1"/>
    <s v="Gran Syrah"/>
    <s v="6x750"/>
    <n v="1230.8749091562001"/>
    <n v="1880"/>
    <n v="1692"/>
  </r>
  <r>
    <x v="0"/>
    <x v="0"/>
    <x v="7"/>
    <x v="27"/>
    <x v="91"/>
    <x v="1"/>
    <s v="Demencial Pinot Noir"/>
    <s v="6x750"/>
    <n v="628.26321350759997"/>
    <n v="950"/>
    <n v="855"/>
  </r>
  <r>
    <x v="0"/>
    <x v="1"/>
    <x v="4"/>
    <x v="27"/>
    <x v="91"/>
    <x v="1"/>
    <s v="Demencial Blanc de Blanc"/>
    <s v="6x750"/>
    <n v="628.26321350759997"/>
    <n v="950"/>
    <n v="855"/>
  </r>
  <r>
    <x v="0"/>
    <x v="0"/>
    <x v="10"/>
    <x v="28"/>
    <x v="92"/>
    <x v="2"/>
    <s v="Altimus "/>
    <s v="3x750"/>
    <n v="2070.5130830339999"/>
    <n v="3220"/>
    <n v="2898"/>
  </r>
  <r>
    <x v="0"/>
    <x v="0"/>
    <x v="10"/>
    <x v="28"/>
    <x v="93"/>
    <x v="2"/>
    <s v="Chañar Punco "/>
    <s v="4x750"/>
    <n v="1723.2194951419797"/>
    <n v="2770"/>
    <n v="2493"/>
  </r>
  <r>
    <x v="0"/>
    <x v="0"/>
    <x v="0"/>
    <x v="28"/>
    <x v="94"/>
    <x v="1"/>
    <s v="Fincas Notables Cabernet Sauvignon"/>
    <s v="6x750"/>
    <n v="1162.4869945623002"/>
    <n v="1770"/>
    <n v="1593"/>
  </r>
  <r>
    <x v="0"/>
    <x v="0"/>
    <x v="5"/>
    <x v="28"/>
    <x v="94"/>
    <x v="1"/>
    <s v="Fincas Notables Cabernet Franc"/>
    <s v="6x750"/>
    <n v="1162.4869945623002"/>
    <n v="1770"/>
    <n v="1593"/>
  </r>
  <r>
    <x v="0"/>
    <x v="0"/>
    <x v="1"/>
    <x v="28"/>
    <x v="94"/>
    <x v="1"/>
    <s v="Fincas Notables Malbec"/>
    <s v="6x750"/>
    <n v="1162.4869945623002"/>
    <n v="1770"/>
    <n v="1593"/>
  </r>
  <r>
    <x v="0"/>
    <x v="0"/>
    <x v="1"/>
    <x v="28"/>
    <x v="95"/>
    <x v="1"/>
    <s v="El Esteco Old Vines Malbec"/>
    <s v="6x750"/>
    <n v="900.91895094498022"/>
    <n v="1440"/>
    <n v="1296"/>
  </r>
  <r>
    <x v="0"/>
    <x v="0"/>
    <x v="0"/>
    <x v="28"/>
    <x v="95"/>
    <x v="1"/>
    <s v="El Esteco Old Vines Cab. Sauv."/>
    <s v="6x750"/>
    <n v="900.91895094498022"/>
    <n v="1440"/>
    <n v="1296"/>
  </r>
  <r>
    <x v="0"/>
    <x v="1"/>
    <x v="14"/>
    <x v="28"/>
    <x v="95"/>
    <x v="1"/>
    <s v="El Esteco Old Vines Torrontes"/>
    <s v="6x750"/>
    <n v="900.91895094498022"/>
    <n v="1440"/>
    <n v="1296"/>
  </r>
  <r>
    <x v="0"/>
    <x v="0"/>
    <x v="1"/>
    <x v="28"/>
    <x v="96"/>
    <x v="1"/>
    <s v="El Esteco Malbec"/>
    <s v="6x750"/>
    <n v="720.75279953556014"/>
    <n v="1060"/>
    <n v="954"/>
  </r>
  <r>
    <x v="0"/>
    <x v="0"/>
    <x v="0"/>
    <x v="28"/>
    <x v="96"/>
    <x v="1"/>
    <s v="El Esteco Cabernet Sauv "/>
    <s v="6x750"/>
    <n v="720.75279953556014"/>
    <n v="1060"/>
    <n v="954"/>
  </r>
  <r>
    <x v="0"/>
    <x v="1"/>
    <x v="4"/>
    <x v="28"/>
    <x v="96"/>
    <x v="1"/>
    <s v="El Esteco Blanc de Blancs"/>
    <s v="4x750"/>
    <n v="720.75279953556014"/>
    <n v="1060"/>
    <n v="954"/>
  </r>
  <r>
    <x v="0"/>
    <x v="2"/>
    <x v="6"/>
    <x v="28"/>
    <x v="96"/>
    <x v="1"/>
    <s v="El Esteco Blanc de Noir"/>
    <s v="4x750"/>
    <n v="720.75279953556014"/>
    <n v="1060"/>
    <n v="954"/>
  </r>
  <r>
    <x v="0"/>
    <x v="0"/>
    <x v="10"/>
    <x v="29"/>
    <x v="97"/>
    <x v="2"/>
    <s v="Juan De Dios"/>
    <s v="6x750"/>
    <n v="1807.060701501"/>
    <n v="2880"/>
    <n v="2592"/>
  </r>
  <r>
    <x v="0"/>
    <x v="0"/>
    <x v="10"/>
    <x v="29"/>
    <x v="98"/>
    <x v="2"/>
    <s v="Structura"/>
    <s v="6x750"/>
    <n v="1572.0562297110002"/>
    <n v="2550"/>
    <n v="2295"/>
  </r>
  <r>
    <x v="0"/>
    <x v="0"/>
    <x v="10"/>
    <x v="29"/>
    <x v="99"/>
    <x v="1"/>
    <s v="Selección del Enólogo"/>
    <s v="6x750"/>
    <n v="1025.7100898391602"/>
    <n v="1550"/>
    <n v="1395"/>
  </r>
  <r>
    <x v="0"/>
    <x v="0"/>
    <x v="0"/>
    <x v="29"/>
    <x v="100"/>
    <x v="1"/>
    <s v="Alegoria Gran Reserva Cab. Sauv."/>
    <s v="6x750"/>
    <n v="684.69789721657503"/>
    <n v="1060"/>
    <n v="954"/>
  </r>
  <r>
    <x v="0"/>
    <x v="0"/>
    <x v="1"/>
    <x v="29"/>
    <x v="100"/>
    <x v="1"/>
    <s v="Alegoria Gran Reserva Malbec"/>
    <s v="6x750"/>
    <n v="684.69789721657503"/>
    <n v="1060"/>
    <n v="954"/>
  </r>
  <r>
    <x v="0"/>
    <x v="0"/>
    <x v="1"/>
    <x v="30"/>
    <x v="101"/>
    <x v="1"/>
    <s v="La Mascota Malbec"/>
    <s v="6x750"/>
    <n v="514.43200000000002"/>
    <n v="770"/>
    <n v="693"/>
  </r>
  <r>
    <x v="0"/>
    <x v="0"/>
    <x v="0"/>
    <x v="30"/>
    <x v="101"/>
    <x v="1"/>
    <s v="La Mascota Cab. Sauv."/>
    <s v="6x750"/>
    <n v="514.43200000000002"/>
    <n v="770"/>
    <n v="693"/>
  </r>
  <r>
    <x v="0"/>
    <x v="1"/>
    <x v="2"/>
    <x v="30"/>
    <x v="101"/>
    <x v="1"/>
    <s v="La Mascota Chardonnay"/>
    <s v="6x750"/>
    <n v="514.43200000000002"/>
    <n v="770"/>
    <n v="693"/>
  </r>
  <r>
    <x v="0"/>
    <x v="3"/>
    <x v="6"/>
    <x v="30"/>
    <x v="101"/>
    <x v="1"/>
    <s v="La Mascota Rosé"/>
    <s v="6x750"/>
    <n v="514.43200000000002"/>
    <n v="770"/>
    <n v="693"/>
  </r>
  <r>
    <x v="0"/>
    <x v="0"/>
    <x v="1"/>
    <x v="30"/>
    <x v="102"/>
    <x v="1"/>
    <s v="Gran Mascota Malbec"/>
    <s v="6x750"/>
    <n v="1081.0893399636395"/>
    <n v="1620"/>
    <n v="1458"/>
  </r>
  <r>
    <x v="0"/>
    <x v="0"/>
    <x v="0"/>
    <x v="30"/>
    <x v="102"/>
    <x v="1"/>
    <s v="Gran Mascota Cab.Sauv."/>
    <s v="6x750"/>
    <n v="1081.0893399636395"/>
    <n v="1620"/>
    <n v="1458"/>
  </r>
  <r>
    <x v="0"/>
    <x v="0"/>
    <x v="4"/>
    <x v="30"/>
    <x v="103"/>
    <x v="2"/>
    <s v="Unanime Tinto"/>
    <s v="6x750"/>
    <n v="1512.2026880400001"/>
    <n v="2330"/>
    <n v="2097"/>
  </r>
  <r>
    <x v="0"/>
    <x v="3"/>
    <x v="6"/>
    <x v="30"/>
    <x v="104"/>
    <x v="1"/>
    <s v="La Mascota Sparkling Rosé"/>
    <s v="6x750"/>
    <n v="668.55"/>
    <n v="990"/>
    <n v="891"/>
  </r>
  <r>
    <x v="0"/>
    <x v="1"/>
    <x v="2"/>
    <x v="31"/>
    <x v="105"/>
    <x v="0"/>
    <s v="Claroscuro Chardonnay"/>
    <s v="6x750"/>
    <n v="283"/>
    <n v="550"/>
    <n v="495"/>
  </r>
  <r>
    <x v="0"/>
    <x v="0"/>
    <x v="1"/>
    <x v="31"/>
    <x v="105"/>
    <x v="0"/>
    <s v="Claroscuro Malbec"/>
    <s v="6x750"/>
    <n v="343"/>
    <n v="660"/>
    <n v="594"/>
  </r>
  <r>
    <x v="0"/>
    <x v="0"/>
    <x v="5"/>
    <x v="31"/>
    <x v="105"/>
    <x v="0"/>
    <s v="Claroscuro Cabernet Franc"/>
    <s v="6x750"/>
    <n v="370"/>
    <n v="690"/>
    <n v="621"/>
  </r>
  <r>
    <x v="0"/>
    <x v="0"/>
    <x v="4"/>
    <x v="31"/>
    <x v="105"/>
    <x v="0"/>
    <s v="Claroscuro Tintas de Uco"/>
    <s v="6x750"/>
    <n v="370"/>
    <n v="690"/>
    <n v="621"/>
  </r>
  <r>
    <x v="0"/>
    <x v="0"/>
    <x v="7"/>
    <x v="31"/>
    <x v="105"/>
    <x v="1"/>
    <s v="Claroscuro Gran Pinot Noir"/>
    <s v="6x750"/>
    <n v="466"/>
    <n v="880"/>
    <n v="792"/>
  </r>
  <r>
    <x v="0"/>
    <x v="0"/>
    <x v="1"/>
    <x v="31"/>
    <x v="105"/>
    <x v="1"/>
    <s v="Claroscuro Gran Malbec"/>
    <s v="6x750"/>
    <n v="466"/>
    <n v="880"/>
    <n v="792"/>
  </r>
  <r>
    <x v="0"/>
    <x v="3"/>
    <x v="6"/>
    <x v="31"/>
    <x v="105"/>
    <x v="0"/>
    <s v="Claroscuro Extra Brut"/>
    <s v="6x750"/>
    <n v="370"/>
    <n v="690"/>
    <n v="621"/>
  </r>
  <r>
    <x v="0"/>
    <x v="3"/>
    <x v="6"/>
    <x v="22"/>
    <x v="106"/>
    <x v="0"/>
    <s v="Espumante Sottano Rosé Brut"/>
    <s v="6x750"/>
    <n v="365.85"/>
    <n v="560"/>
    <n v="504"/>
  </r>
  <r>
    <x v="0"/>
    <x v="3"/>
    <x v="6"/>
    <x v="4"/>
    <x v="107"/>
    <x v="1"/>
    <s v="Chandon Delice 750ml"/>
    <s v="6x750"/>
    <n v="481.5"/>
    <n v="770"/>
    <n v="693"/>
  </r>
  <r>
    <x v="0"/>
    <x v="3"/>
    <x v="6"/>
    <x v="4"/>
    <x v="107"/>
    <x v="0"/>
    <s v="Chandon Extra Brut 750ml"/>
    <s v="6x750"/>
    <n v="493.09"/>
    <n v="730"/>
    <n v="657"/>
  </r>
  <r>
    <x v="0"/>
    <x v="3"/>
    <x v="6"/>
    <x v="4"/>
    <x v="107"/>
    <x v="0"/>
    <s v="Chandon Brut Rosé 750ml"/>
    <s v="6x750"/>
    <n v="503.37"/>
    <n v="730"/>
    <n v="657"/>
  </r>
  <r>
    <x v="0"/>
    <x v="3"/>
    <x v="6"/>
    <x v="4"/>
    <x v="107"/>
    <x v="0"/>
    <s v="Chandon Demi Sec 750ml"/>
    <s v="6x750"/>
    <n v="502.07"/>
    <n v="730"/>
    <n v="657"/>
  </r>
  <r>
    <x v="0"/>
    <x v="3"/>
    <x v="6"/>
    <x v="4"/>
    <x v="107"/>
    <x v="0"/>
    <s v="Chandon Aperitif 750ml"/>
    <s v="6x750"/>
    <n v="503.37"/>
    <n v="730"/>
    <n v="657"/>
  </r>
  <r>
    <x v="0"/>
    <x v="3"/>
    <x v="6"/>
    <x v="4"/>
    <x v="107"/>
    <x v="1"/>
    <s v="Chandon Brut Nature 750ml"/>
    <s v="6x750"/>
    <n v="603"/>
    <n v="880"/>
    <n v="792"/>
  </r>
  <r>
    <x v="0"/>
    <x v="3"/>
    <x v="6"/>
    <x v="4"/>
    <x v="108"/>
    <x v="1"/>
    <s v="Baron B Extra Brut x750ml"/>
    <s v="6x750"/>
    <n v="960.3"/>
    <n v="1440"/>
    <n v="1296"/>
  </r>
  <r>
    <x v="0"/>
    <x v="3"/>
    <x v="6"/>
    <x v="4"/>
    <x v="108"/>
    <x v="1"/>
    <s v="Baron B Brut Nature x750ml"/>
    <s v="6x750"/>
    <n v="1327.2250000000001"/>
    <n v="1880"/>
    <n v="1692"/>
  </r>
  <r>
    <x v="0"/>
    <x v="3"/>
    <x v="6"/>
    <x v="4"/>
    <x v="108"/>
    <x v="1"/>
    <s v="Baron B Brut Rosé x750ml"/>
    <s v="6x750"/>
    <n v="1327.2250000000001"/>
    <n v="1990"/>
    <n v="1791"/>
  </r>
  <r>
    <x v="0"/>
    <x v="3"/>
    <x v="6"/>
    <x v="32"/>
    <x v="109"/>
    <x v="1"/>
    <s v="Rosell Boher Brut   "/>
    <s v="6x750"/>
    <n v="1188"/>
    <n v="1770"/>
    <n v="1593"/>
  </r>
  <r>
    <x v="0"/>
    <x v="3"/>
    <x v="6"/>
    <x v="32"/>
    <x v="109"/>
    <x v="1"/>
    <s v="Rosell Boher Brut Rosé"/>
    <s v="6x750"/>
    <n v="1320"/>
    <n v="1950"/>
    <n v="1755"/>
  </r>
  <r>
    <x v="0"/>
    <x v="3"/>
    <x v="6"/>
    <x v="4"/>
    <x v="110"/>
    <x v="3"/>
    <s v="Dom Perignon Blanc 2010"/>
    <s v="1x750"/>
    <n v="22973.38"/>
    <n v="35450"/>
    <n v="31905"/>
  </r>
  <r>
    <x v="0"/>
    <x v="3"/>
    <x v="6"/>
    <x v="4"/>
    <x v="111"/>
    <x v="3"/>
    <s v="Champagne Veuve Clicquot Brut Yellow Label"/>
    <s v="1x750"/>
    <n v="8000"/>
    <n v="12220"/>
    <n v="10998"/>
  </r>
  <r>
    <x v="0"/>
    <x v="3"/>
    <x v="6"/>
    <x v="4"/>
    <x v="111"/>
    <x v="3"/>
    <s v="Champagne Veuve Clicquot Rosé"/>
    <s v="1x750"/>
    <n v="7963"/>
    <n v="13330"/>
    <n v="11997"/>
  </r>
  <r>
    <x v="0"/>
    <x v="3"/>
    <x v="6"/>
    <x v="4"/>
    <x v="111"/>
    <x v="3"/>
    <s v="Champagne Veuve Clicquot Magnetic Message"/>
    <s v="1x750"/>
    <n v="6756.2000000000007"/>
    <n v="13330"/>
    <n v="11997"/>
  </r>
  <r>
    <x v="0"/>
    <x v="3"/>
    <x v="6"/>
    <x v="4"/>
    <x v="111"/>
    <x v="3"/>
    <s v="Champagne Veuve Clicquot Pencil Brut"/>
    <s v="1x750"/>
    <n v="6756.2000000000007"/>
    <n v="13330"/>
    <n v="11997"/>
  </r>
  <r>
    <x v="0"/>
    <x v="3"/>
    <x v="6"/>
    <x v="4"/>
    <x v="111"/>
    <x v="3"/>
    <s v="Champagne Veuve Clicquot Gouache Brut"/>
    <s v="1x750"/>
    <n v="6756.2000000000007"/>
    <n v="13330"/>
    <n v="11997"/>
  </r>
  <r>
    <x v="0"/>
    <x v="3"/>
    <x v="6"/>
    <x v="4"/>
    <x v="112"/>
    <x v="3"/>
    <s v="Champagne Moët &amp; Chandon Brut Impérial"/>
    <s v="1x750"/>
    <n v="7500"/>
    <n v="11440"/>
    <n v="10296"/>
  </r>
  <r>
    <x v="0"/>
    <x v="3"/>
    <x v="6"/>
    <x v="4"/>
    <x v="112"/>
    <x v="3"/>
    <s v="Champagne Moët &amp; Chandon Impérial Rosé"/>
    <s v="1x750"/>
    <n v="6172.3670000000011"/>
    <n v="12220"/>
    <n v="10998"/>
  </r>
  <r>
    <x v="1"/>
    <x v="4"/>
    <x v="6"/>
    <x v="33"/>
    <x v="113"/>
    <x v="4"/>
    <s v="Beefeater 700ml"/>
    <s v="1x700"/>
    <n v="1331.12"/>
    <n v="1950"/>
    <n v="1755"/>
  </r>
  <r>
    <x v="1"/>
    <x v="4"/>
    <x v="6"/>
    <x v="33"/>
    <x v="113"/>
    <x v="4"/>
    <s v="Beefeater 1000ml"/>
    <s v="1x1000"/>
    <n v="1581.33"/>
    <n v="2330"/>
    <n v="2097"/>
  </r>
  <r>
    <x v="1"/>
    <x v="4"/>
    <x v="6"/>
    <x v="33"/>
    <x v="113"/>
    <x v="4"/>
    <s v="Beefeater Pink"/>
    <s v="1x700"/>
    <n v="1506.03"/>
    <n v="2220"/>
    <n v="1998"/>
  </r>
  <r>
    <x v="1"/>
    <x v="4"/>
    <x v="6"/>
    <x v="33"/>
    <x v="114"/>
    <x v="4"/>
    <s v="Tanqueray"/>
    <s v="1x700"/>
    <n v="1230.1249500000001"/>
    <n v="1840"/>
    <n v="1656"/>
  </r>
  <r>
    <x v="1"/>
    <x v="4"/>
    <x v="6"/>
    <x v="33"/>
    <x v="114"/>
    <x v="4"/>
    <s v="Tanqueray Sevilla"/>
    <s v="1x700"/>
    <n v="1412.64"/>
    <n v="2330"/>
    <n v="2097"/>
  </r>
  <r>
    <x v="1"/>
    <x v="4"/>
    <x v="6"/>
    <x v="33"/>
    <x v="115"/>
    <x v="4"/>
    <s v="Bulldog x750ml"/>
    <s v="1x750"/>
    <n v="1877.9199999999998"/>
    <n v="2770"/>
    <n v="2493"/>
  </r>
  <r>
    <x v="1"/>
    <x v="4"/>
    <x v="6"/>
    <x v="33"/>
    <x v="116"/>
    <x v="4"/>
    <s v="Bombay Saphire"/>
    <s v="1x750"/>
    <n v="1750"/>
    <n v="2550"/>
    <n v="2295"/>
  </r>
  <r>
    <x v="1"/>
    <x v="4"/>
    <x v="6"/>
    <x v="33"/>
    <x v="117"/>
    <x v="5"/>
    <s v="Gin Le Tribute x700ml"/>
    <s v="1x700"/>
    <n v="2886.0000000000005"/>
    <n v="4990"/>
    <n v="4491"/>
  </r>
  <r>
    <x v="1"/>
    <x v="4"/>
    <x v="6"/>
    <x v="33"/>
    <x v="118"/>
    <x v="6"/>
    <s v="Hendrick´s x700ml"/>
    <s v="1x700"/>
    <n v="3514.52"/>
    <n v="5330"/>
    <n v="4797"/>
  </r>
  <r>
    <x v="1"/>
    <x v="4"/>
    <x v="6"/>
    <x v="33"/>
    <x v="119"/>
    <x v="6"/>
    <s v="Monkey 47 Dry x500ml"/>
    <s v="1x500"/>
    <n v="5204"/>
    <n v="7100"/>
    <n v="6390"/>
  </r>
  <r>
    <x v="1"/>
    <x v="4"/>
    <x v="6"/>
    <x v="33"/>
    <x v="120"/>
    <x v="6"/>
    <s v="Gin Mare"/>
    <s v="1x700"/>
    <n v="5322.19"/>
    <n v="8880"/>
    <n v="7992"/>
  </r>
  <r>
    <x v="1"/>
    <x v="4"/>
    <x v="6"/>
    <x v="33"/>
    <x v="120"/>
    <x v="7"/>
    <s v="Gin Mare con Farol"/>
    <s v="1x700"/>
    <n v="6750"/>
    <n v="10550"/>
    <n v="9495"/>
  </r>
  <r>
    <x v="1"/>
    <x v="5"/>
    <x v="6"/>
    <x v="33"/>
    <x v="121"/>
    <x v="4"/>
    <s v="Baileys x750ml"/>
    <s v="1x750"/>
    <n v="1103.1397999999999"/>
    <n v="1660"/>
    <n v="1494"/>
  </r>
  <r>
    <x v="1"/>
    <x v="5"/>
    <x v="6"/>
    <x v="33"/>
    <x v="121"/>
    <x v="4"/>
    <s v="Baileys Salted Caramel x750ml"/>
    <s v="1x750"/>
    <n v="1150.1400000000001"/>
    <n v="1770"/>
    <n v="1593"/>
  </r>
  <r>
    <x v="1"/>
    <x v="5"/>
    <x v="6"/>
    <x v="33"/>
    <x v="122"/>
    <x v="4"/>
    <s v="Amarula x750ml"/>
    <s v="1x750"/>
    <n v="1730"/>
    <n v="2550"/>
    <n v="2295"/>
  </r>
  <r>
    <x v="1"/>
    <x v="5"/>
    <x v="6"/>
    <x v="33"/>
    <x v="123"/>
    <x v="4"/>
    <s v="Jägermeister x700ml"/>
    <s v="1x700"/>
    <n v="1690"/>
    <n v="2440"/>
    <n v="2196"/>
  </r>
  <r>
    <x v="1"/>
    <x v="5"/>
    <x v="6"/>
    <x v="33"/>
    <x v="124"/>
    <x v="4"/>
    <s v="Sheridans"/>
    <s v="1x750"/>
    <n v="1493.85"/>
    <n v="2880"/>
    <n v="2592"/>
  </r>
  <r>
    <x v="1"/>
    <x v="6"/>
    <x v="6"/>
    <x v="33"/>
    <x v="125"/>
    <x v="4"/>
    <s v="Havana Club 7 años"/>
    <s v="1x750"/>
    <n v="1733.97"/>
    <n v="2440"/>
    <n v="2196"/>
  </r>
  <r>
    <x v="1"/>
    <x v="6"/>
    <x v="6"/>
    <x v="33"/>
    <x v="125"/>
    <x v="6"/>
    <s v="Havana Club Selección de Maestros"/>
    <s v="1x750"/>
    <n v="6330.07"/>
    <n v="8880"/>
    <n v="7992"/>
  </r>
  <r>
    <x v="1"/>
    <x v="6"/>
    <x v="6"/>
    <x v="33"/>
    <x v="126"/>
    <x v="5"/>
    <s v="Zacapa Ambar 12 años"/>
    <s v="1x750"/>
    <n v="2078.9250000000002"/>
    <n v="3440"/>
    <n v="3096"/>
  </r>
  <r>
    <x v="1"/>
    <x v="6"/>
    <x v="6"/>
    <x v="33"/>
    <x v="126"/>
    <x v="6"/>
    <s v="Zacapa Centenario 23 años"/>
    <s v="1x750"/>
    <n v="3812.2019999999998"/>
    <n v="6220"/>
    <n v="5598"/>
  </r>
  <r>
    <x v="1"/>
    <x v="6"/>
    <x v="6"/>
    <x v="33"/>
    <x v="126"/>
    <x v="7"/>
    <s v="Zacapa Centenario XO"/>
    <s v="1x750"/>
    <n v="7314.3289999999988"/>
    <n v="12220"/>
    <n v="10998"/>
  </r>
  <r>
    <x v="1"/>
    <x v="7"/>
    <x v="6"/>
    <x v="33"/>
    <x v="127"/>
    <x v="7"/>
    <s v="Don Julio Añejo x750ml"/>
    <s v="1x750"/>
    <n v="3249.4285"/>
    <n v="15550"/>
    <n v="13995"/>
  </r>
  <r>
    <x v="1"/>
    <x v="7"/>
    <x v="6"/>
    <x v="33"/>
    <x v="127"/>
    <x v="7"/>
    <s v="Don Julio Reposado x750ml"/>
    <s v="1x750"/>
    <n v="3249.4285"/>
    <n v="15550"/>
    <n v="13995"/>
  </r>
  <r>
    <x v="1"/>
    <x v="8"/>
    <x v="6"/>
    <x v="33"/>
    <x v="128"/>
    <x v="4"/>
    <s v="Smirnoff 21"/>
    <s v="1x700"/>
    <n v="348.74666666666667"/>
    <n v="440"/>
    <n v="396"/>
  </r>
  <r>
    <x v="1"/>
    <x v="8"/>
    <x v="6"/>
    <x v="33"/>
    <x v="128"/>
    <x v="4"/>
    <s v="Smirnoff Raspberry"/>
    <s v="1x700"/>
    <n v="377.17333333333335"/>
    <n v="470"/>
    <n v="423"/>
  </r>
  <r>
    <x v="1"/>
    <x v="8"/>
    <x v="6"/>
    <x v="33"/>
    <x v="128"/>
    <x v="4"/>
    <s v="Smirnoff Watermelon"/>
    <s v="1x700"/>
    <n v="377.17333333333335"/>
    <n v="470"/>
    <n v="423"/>
  </r>
  <r>
    <x v="1"/>
    <x v="8"/>
    <x v="6"/>
    <x v="33"/>
    <x v="128"/>
    <x v="4"/>
    <s v="Smirnoff Green Apple"/>
    <s v="1x700"/>
    <n v="377.17333333333335"/>
    <n v="470"/>
    <n v="423"/>
  </r>
  <r>
    <x v="1"/>
    <x v="8"/>
    <x v="6"/>
    <x v="33"/>
    <x v="128"/>
    <x v="4"/>
    <s v="Smirnoff Bitter Citric"/>
    <s v="1x700"/>
    <n v="377.17333333333335"/>
    <n v="470"/>
    <n v="423"/>
  </r>
  <r>
    <x v="1"/>
    <x v="8"/>
    <x v="6"/>
    <x v="33"/>
    <x v="128"/>
    <x v="4"/>
    <s v="Smirnoff Citrus"/>
    <s v="1x700"/>
    <n v="377.17333333333335"/>
    <n v="470"/>
    <n v="423"/>
  </r>
  <r>
    <x v="1"/>
    <x v="8"/>
    <x v="6"/>
    <x v="33"/>
    <x v="129"/>
    <x v="4"/>
    <s v="Absolut x750ml"/>
    <s v="1x750"/>
    <n v="1247"/>
    <n v="1770"/>
    <n v="1593"/>
  </r>
  <r>
    <x v="1"/>
    <x v="8"/>
    <x v="6"/>
    <x v="33"/>
    <x v="129"/>
    <x v="4"/>
    <s v="Absolut Raspberry x750ml"/>
    <s v="1x750"/>
    <n v="1381"/>
    <n v="1950"/>
    <n v="1755"/>
  </r>
  <r>
    <x v="1"/>
    <x v="8"/>
    <x v="6"/>
    <x v="33"/>
    <x v="129"/>
    <x v="4"/>
    <s v="Absolut Mango x750ml"/>
    <s v="1x750"/>
    <n v="1381"/>
    <n v="1950"/>
    <n v="1755"/>
  </r>
  <r>
    <x v="1"/>
    <x v="8"/>
    <x v="6"/>
    <x v="33"/>
    <x v="129"/>
    <x v="4"/>
    <s v="Absolut Grapefruit x750ml"/>
    <s v="1x750"/>
    <n v="1381"/>
    <n v="1950"/>
    <n v="1755"/>
  </r>
  <r>
    <x v="1"/>
    <x v="8"/>
    <x v="6"/>
    <x v="33"/>
    <x v="129"/>
    <x v="4"/>
    <s v="Absolut Apple x750ml"/>
    <s v="1x750"/>
    <n v="1381"/>
    <n v="1950"/>
    <n v="1755"/>
  </r>
  <r>
    <x v="1"/>
    <x v="8"/>
    <x v="6"/>
    <x v="33"/>
    <x v="129"/>
    <x v="4"/>
    <s v="Absolut Apeach x750ml"/>
    <s v="1x750"/>
    <n v="1381"/>
    <n v="1950"/>
    <n v="1755"/>
  </r>
  <r>
    <x v="1"/>
    <x v="8"/>
    <x v="6"/>
    <x v="33"/>
    <x v="129"/>
    <x v="4"/>
    <s v="Absolut Pears x750ml"/>
    <s v="1x750"/>
    <n v="1381"/>
    <n v="1950"/>
    <n v="1755"/>
  </r>
  <r>
    <x v="1"/>
    <x v="8"/>
    <x v="6"/>
    <x v="33"/>
    <x v="129"/>
    <x v="4"/>
    <s v="Absolut Extrakt x750ml"/>
    <s v="1x750"/>
    <n v="1381"/>
    <n v="1950"/>
    <n v="1755"/>
  </r>
  <r>
    <x v="1"/>
    <x v="8"/>
    <x v="6"/>
    <x v="33"/>
    <x v="130"/>
    <x v="4"/>
    <s v="Ketel One x750ml"/>
    <s v="1x750"/>
    <n v="1379.4795840000002"/>
    <n v="1990"/>
    <n v="1791"/>
  </r>
  <r>
    <x v="1"/>
    <x v="8"/>
    <x v="6"/>
    <x v="33"/>
    <x v="131"/>
    <x v="6"/>
    <s v="Grey Groose x750ml"/>
    <s v="1x750"/>
    <n v="4900"/>
    <n v="6660"/>
    <n v="5994"/>
  </r>
  <r>
    <x v="1"/>
    <x v="9"/>
    <x v="6"/>
    <x v="33"/>
    <x v="132"/>
    <x v="6"/>
    <s v="Hennessy VS"/>
    <s v="1x750"/>
    <n v="4164.6385"/>
    <n v="7770"/>
    <n v="6993"/>
  </r>
  <r>
    <x v="1"/>
    <x v="9"/>
    <x v="6"/>
    <x v="33"/>
    <x v="132"/>
    <x v="7"/>
    <s v="Hennessy VSOP"/>
    <s v="1x750"/>
    <n v="7151.5839999999989"/>
    <n v="13330"/>
    <n v="11997"/>
  </r>
  <r>
    <x v="1"/>
    <x v="9"/>
    <x v="6"/>
    <x v="33"/>
    <x v="132"/>
    <x v="7"/>
    <s v="Hennessy XO"/>
    <s v="1x750"/>
    <n v="23273.587699999996"/>
    <n v="38880"/>
    <n v="34992"/>
  </r>
  <r>
    <x v="2"/>
    <x v="10"/>
    <x v="6"/>
    <x v="33"/>
    <x v="133"/>
    <x v="4"/>
    <s v="J&amp;B 750ml"/>
    <s v="1x750"/>
    <n v="902.53"/>
    <n v="1330"/>
    <n v="1197"/>
  </r>
  <r>
    <x v="2"/>
    <x v="10"/>
    <x v="6"/>
    <x v="33"/>
    <x v="134"/>
    <x v="4"/>
    <s v="Jameson x750ml"/>
    <s v="1x750"/>
    <n v="1389.04"/>
    <n v="1990"/>
    <n v="1791"/>
  </r>
  <r>
    <x v="2"/>
    <x v="10"/>
    <x v="6"/>
    <x v="33"/>
    <x v="134"/>
    <x v="4"/>
    <s v="Jameson Caskmates Stout"/>
    <s v="1x750"/>
    <n v="1528.51"/>
    <n v="2220"/>
    <n v="1998"/>
  </r>
  <r>
    <x v="2"/>
    <x v="10"/>
    <x v="6"/>
    <x v="33"/>
    <x v="134"/>
    <x v="4"/>
    <s v="Jameson Caskmates Ipa"/>
    <s v="1x750"/>
    <n v="1528.51"/>
    <n v="2330"/>
    <n v="2097"/>
  </r>
  <r>
    <x v="2"/>
    <x v="10"/>
    <x v="6"/>
    <x v="33"/>
    <x v="134"/>
    <x v="5"/>
    <s v="Jameson Black Barrel"/>
    <s v="1x750"/>
    <n v="2150"/>
    <n v="3330"/>
    <n v="2997"/>
  </r>
  <r>
    <x v="2"/>
    <x v="10"/>
    <x v="6"/>
    <x v="33"/>
    <x v="135"/>
    <x v="4"/>
    <s v="Old Parr"/>
    <s v="1x750"/>
    <n v="1783.6760000000002"/>
    <n v="2770"/>
    <n v="2493"/>
  </r>
  <r>
    <x v="2"/>
    <x v="10"/>
    <x v="6"/>
    <x v="33"/>
    <x v="136"/>
    <x v="5"/>
    <s v="Buchanan´s Deluxe 12 años"/>
    <s v="1x750"/>
    <n v="2324.9438399999999"/>
    <n v="3660"/>
    <n v="3294"/>
  </r>
  <r>
    <x v="2"/>
    <x v="11"/>
    <x v="6"/>
    <x v="33"/>
    <x v="137"/>
    <x v="5"/>
    <s v="Bulleit "/>
    <s v="1x750"/>
    <n v="2737.0336000000007"/>
    <n v="4550"/>
    <n v="4095"/>
  </r>
  <r>
    <x v="2"/>
    <x v="11"/>
    <x v="6"/>
    <x v="33"/>
    <x v="138"/>
    <x v="5"/>
    <s v="Jack Daniel's N°7 x750ml"/>
    <s v="1x750"/>
    <n v="3150"/>
    <n v="4660"/>
    <n v="4194"/>
  </r>
  <r>
    <x v="2"/>
    <x v="11"/>
    <x v="6"/>
    <x v="33"/>
    <x v="138"/>
    <x v="5"/>
    <s v="Jack Daniel's Honey x750ml"/>
    <s v="1x750"/>
    <n v="3150"/>
    <n v="4660"/>
    <n v="4194"/>
  </r>
  <r>
    <x v="2"/>
    <x v="11"/>
    <x v="6"/>
    <x v="33"/>
    <x v="139"/>
    <x v="5"/>
    <s v="Maker´s Mark"/>
    <s v="1x750"/>
    <n v="3059.8840000000009"/>
    <n v="4440"/>
    <n v="3996"/>
  </r>
  <r>
    <x v="2"/>
    <x v="10"/>
    <x v="6"/>
    <x v="33"/>
    <x v="140"/>
    <x v="4"/>
    <s v="J. Walker Red Label x750ml"/>
    <s v="1x750"/>
    <n v="1291.6400000000001"/>
    <n v="1990"/>
    <n v="1791"/>
  </r>
  <r>
    <x v="2"/>
    <x v="10"/>
    <x v="6"/>
    <x v="33"/>
    <x v="140"/>
    <x v="4"/>
    <s v="J. Walker Red Label x1000ml"/>
    <s v="1x1000"/>
    <n v="1537.66"/>
    <n v="2440"/>
    <n v="2196"/>
  </r>
  <r>
    <x v="2"/>
    <x v="10"/>
    <x v="6"/>
    <x v="33"/>
    <x v="140"/>
    <x v="4"/>
    <s v="J. Walker Red Label ICON (Edición 200 años)"/>
    <s v="1x700"/>
    <n v="1449.2666160000006"/>
    <n v="2220"/>
    <n v="1998"/>
  </r>
  <r>
    <x v="2"/>
    <x v="10"/>
    <x v="6"/>
    <x v="33"/>
    <x v="140"/>
    <x v="4"/>
    <s v="J. Walker Red Lata x750ml (Edición Especial)"/>
    <s v="1x750"/>
    <n v="0"/>
    <n v="0"/>
    <n v="0"/>
  </r>
  <r>
    <x v="2"/>
    <x v="10"/>
    <x v="6"/>
    <x v="33"/>
    <x v="140"/>
    <x v="5"/>
    <s v="J. Walker Black Label x750ml"/>
    <s v="1x750"/>
    <n v="2214.2369000000003"/>
    <n v="3330"/>
    <n v="2997"/>
  </r>
  <r>
    <x v="2"/>
    <x v="10"/>
    <x v="6"/>
    <x v="33"/>
    <x v="140"/>
    <x v="5"/>
    <s v="J. Walker Black Label x1000ml"/>
    <s v="1x1000"/>
    <n v="2644.7869000000001"/>
    <n v="3880"/>
    <n v="3492"/>
  </r>
  <r>
    <x v="2"/>
    <x v="10"/>
    <x v="6"/>
    <x v="33"/>
    <x v="140"/>
    <x v="5"/>
    <s v="J. Walker Black Label ICON (Edición 200 años)"/>
    <s v="1x700"/>
    <n v="2546.3724349999998"/>
    <n v="3660"/>
    <n v="3294"/>
  </r>
  <r>
    <x v="2"/>
    <x v="10"/>
    <x v="6"/>
    <x v="33"/>
    <x v="140"/>
    <x v="5"/>
    <s v="J. Walker Black Label + Vasos (Special Edition)"/>
    <s v="1x750"/>
    <n v="2657.08428"/>
    <n v="4330"/>
    <n v="3897"/>
  </r>
  <r>
    <x v="2"/>
    <x v="10"/>
    <x v="6"/>
    <x v="33"/>
    <x v="140"/>
    <x v="5"/>
    <s v="J. Walker Black Lata x750ml (Edición Especial)"/>
    <s v="1x750"/>
    <n v="2546.3724349999998"/>
    <n v="3990"/>
    <n v="3591"/>
  </r>
  <r>
    <x v="2"/>
    <x v="10"/>
    <x v="6"/>
    <x v="33"/>
    <x v="140"/>
    <x v="5"/>
    <s v="J. Walker Double Black"/>
    <s v="1x750"/>
    <n v="2460.2717000000002"/>
    <n v="4100"/>
    <n v="3690"/>
  </r>
  <r>
    <x v="2"/>
    <x v="10"/>
    <x v="6"/>
    <x v="33"/>
    <x v="140"/>
    <x v="6"/>
    <s v="J. Walker Double Black Label + Vasos (Special Edition)"/>
    <s v="1x750"/>
    <n v="2952.3260400000004"/>
    <n v="5550"/>
    <n v="4995"/>
  </r>
  <r>
    <x v="2"/>
    <x v="10"/>
    <x v="6"/>
    <x v="33"/>
    <x v="140"/>
    <x v="6"/>
    <s v="J. Walker Gold Label"/>
    <s v="1x750"/>
    <n v="4387.25"/>
    <n v="6660"/>
    <n v="5994"/>
  </r>
  <r>
    <x v="2"/>
    <x v="10"/>
    <x v="6"/>
    <x v="33"/>
    <x v="140"/>
    <x v="6"/>
    <s v="J. Walker Gold Label ICON (Edición 200 años)"/>
    <s v="1x700"/>
    <n v="5045.3375000000005"/>
    <n v="6990"/>
    <n v="6291"/>
  </r>
  <r>
    <x v="2"/>
    <x v="10"/>
    <x v="6"/>
    <x v="33"/>
    <x v="140"/>
    <x v="4"/>
    <s v="J. Walker Gold Label Bullion IV (Special Edition)"/>
    <s v="1x700"/>
    <n v="5045.3375000000005"/>
    <n v="0"/>
    <n v="0"/>
  </r>
  <r>
    <x v="2"/>
    <x v="10"/>
    <x v="6"/>
    <x v="33"/>
    <x v="140"/>
    <x v="6"/>
    <s v="J. Walker Gold Label + Vasos (Special Edition)"/>
    <s v="1x750"/>
    <n v="5264.7000000000007"/>
    <n v="7880"/>
    <n v="7092"/>
  </r>
  <r>
    <x v="2"/>
    <x v="10"/>
    <x v="6"/>
    <x v="33"/>
    <x v="140"/>
    <x v="6"/>
    <s v="J. Walker Swing"/>
    <s v="1x750"/>
    <n v="4520.2518000000009"/>
    <n v="7550"/>
    <n v="6795"/>
  </r>
  <r>
    <x v="2"/>
    <x v="10"/>
    <x v="6"/>
    <x v="33"/>
    <x v="140"/>
    <x v="6"/>
    <s v="J. Walker Green Label"/>
    <s v="1x750"/>
    <n v="5584.1572000000006"/>
    <n v="8880"/>
    <n v="7992"/>
  </r>
  <r>
    <x v="2"/>
    <x v="10"/>
    <x v="6"/>
    <x v="33"/>
    <x v="140"/>
    <x v="7"/>
    <s v="J. Walker Green Label + Vasos (Special Edition)"/>
    <s v="1x750"/>
    <n v="6700.9886400000005"/>
    <n v="11100"/>
    <n v="9990"/>
  </r>
  <r>
    <x v="2"/>
    <x v="10"/>
    <x v="6"/>
    <x v="33"/>
    <x v="140"/>
    <x v="7"/>
    <s v="J. Walker 18 Años"/>
    <s v="1x750"/>
    <n v="7180.0262000000012"/>
    <n v="11550"/>
    <n v="10395"/>
  </r>
  <r>
    <x v="2"/>
    <x v="10"/>
    <x v="6"/>
    <x v="33"/>
    <x v="140"/>
    <x v="7"/>
    <s v="J. Walker 18 Años + Vasos (Special Edition)"/>
    <s v="1x750"/>
    <n v="9334.0340600000018"/>
    <n v="13880"/>
    <n v="12492"/>
  </r>
  <r>
    <x v="2"/>
    <x v="10"/>
    <x v="6"/>
    <x v="33"/>
    <x v="140"/>
    <x v="7"/>
    <s v="J. Walker XR 21"/>
    <s v="1x750"/>
    <n v="11581.036360000004"/>
    <n v="18880"/>
    <n v="16992"/>
  </r>
  <r>
    <x v="2"/>
    <x v="10"/>
    <x v="6"/>
    <x v="33"/>
    <x v="140"/>
    <x v="7"/>
    <s v="J. Walker Blue Label"/>
    <s v="1x750"/>
    <n v="15293.607969999999"/>
    <n v="24440"/>
    <n v="21996"/>
  </r>
  <r>
    <x v="2"/>
    <x v="10"/>
    <x v="6"/>
    <x v="33"/>
    <x v="140"/>
    <x v="7"/>
    <s v="J. Walker Blue Buenos Aires (Special Edition)"/>
    <s v="1x750"/>
    <n v="17587.649165499999"/>
    <n v="33330"/>
    <n v="29997"/>
  </r>
  <r>
    <x v="2"/>
    <x v="10"/>
    <x v="6"/>
    <x v="33"/>
    <x v="140"/>
    <x v="4"/>
    <s v="J. Walker Blue Label + Vasos (Special Edition)"/>
    <s v="1x750"/>
    <n v="19519.127040000003"/>
    <n v="0"/>
    <n v="0"/>
  </r>
  <r>
    <x v="2"/>
    <x v="10"/>
    <x v="6"/>
    <x v="33"/>
    <x v="140"/>
    <x v="7"/>
    <s v="J. Walker Blue Ghost &amp; Rare"/>
    <s v="1x750"/>
    <n v="21411.051157999998"/>
    <n v="88880"/>
    <n v="79992"/>
  </r>
  <r>
    <x v="2"/>
    <x v="10"/>
    <x v="6"/>
    <x v="33"/>
    <x v="141"/>
    <x v="5"/>
    <s v="Chivas 12 años x750ml"/>
    <s v="1x750"/>
    <n v="2208.66"/>
    <n v="3100"/>
    <n v="2790"/>
  </r>
  <r>
    <x v="2"/>
    <x v="10"/>
    <x v="6"/>
    <x v="33"/>
    <x v="141"/>
    <x v="5"/>
    <s v="Chivas 12 años x1000ml"/>
    <s v="1x1000"/>
    <n v="2824.47"/>
    <n v="3990"/>
    <n v="3591"/>
  </r>
  <r>
    <x v="2"/>
    <x v="10"/>
    <x v="6"/>
    <x v="33"/>
    <x v="141"/>
    <x v="5"/>
    <s v="Chivas 15 años x750ml"/>
    <s v="1x750"/>
    <n v="3026.44"/>
    <n v="4220"/>
    <n v="3798"/>
  </r>
  <r>
    <x v="2"/>
    <x v="10"/>
    <x v="6"/>
    <x v="33"/>
    <x v="141"/>
    <x v="5"/>
    <s v="Chivas Extra 13 años"/>
    <s v="1x750"/>
    <n v="2824.47"/>
    <n v="3990"/>
    <n v="3591"/>
  </r>
  <r>
    <x v="2"/>
    <x v="10"/>
    <x v="6"/>
    <x v="33"/>
    <x v="141"/>
    <x v="6"/>
    <s v="Chivas Mizunara"/>
    <s v="1x750"/>
    <n v="4144.38"/>
    <n v="5880"/>
    <n v="5292"/>
  </r>
  <r>
    <x v="2"/>
    <x v="10"/>
    <x v="6"/>
    <x v="33"/>
    <x v="141"/>
    <x v="6"/>
    <s v="Chivas 18 años x750ml"/>
    <s v="1x750"/>
    <n v="6618.79"/>
    <n v="9330"/>
    <n v="8397"/>
  </r>
  <r>
    <x v="2"/>
    <x v="10"/>
    <x v="6"/>
    <x v="33"/>
    <x v="141"/>
    <x v="7"/>
    <s v="Royal Salute 21 años"/>
    <s v="1x750"/>
    <n v="17650.189999999999"/>
    <n v="23330"/>
    <n v="20997"/>
  </r>
  <r>
    <x v="2"/>
    <x v="12"/>
    <x v="6"/>
    <x v="33"/>
    <x v="142"/>
    <x v="6"/>
    <s v="Aberlour 12 años"/>
    <s v="1x750"/>
    <n v="3715"/>
    <n v="5550"/>
    <n v="4995"/>
  </r>
  <r>
    <x v="2"/>
    <x v="12"/>
    <x v="6"/>
    <x v="33"/>
    <x v="143"/>
    <x v="5"/>
    <s v="The Glenlivet Founder Reserve"/>
    <s v="1x750"/>
    <n v="3234.55"/>
    <n v="4880"/>
    <n v="4392"/>
  </r>
  <r>
    <x v="2"/>
    <x v="12"/>
    <x v="6"/>
    <x v="33"/>
    <x v="143"/>
    <x v="6"/>
    <s v="The Glenlivet 12 años"/>
    <s v="1x750"/>
    <n v="3465"/>
    <n v="5100"/>
    <n v="4590"/>
  </r>
  <r>
    <x v="2"/>
    <x v="12"/>
    <x v="6"/>
    <x v="33"/>
    <x v="143"/>
    <x v="6"/>
    <s v="The Glenlivet 15 años"/>
    <s v="1x750"/>
    <n v="5735.61"/>
    <n v="8880"/>
    <n v="7992"/>
  </r>
  <r>
    <x v="2"/>
    <x v="12"/>
    <x v="6"/>
    <x v="33"/>
    <x v="143"/>
    <x v="7"/>
    <s v="The Glenlivet 18 años"/>
    <s v="1x750"/>
    <n v="8124.9"/>
    <n v="13330"/>
    <n v="11997"/>
  </r>
  <r>
    <x v="2"/>
    <x v="12"/>
    <x v="6"/>
    <x v="33"/>
    <x v="144"/>
    <x v="6"/>
    <s v="The Glenrothes 10 años"/>
    <s v="1x750"/>
    <n v="5938"/>
    <n v="8880"/>
    <n v="7992"/>
  </r>
  <r>
    <x v="2"/>
    <x v="12"/>
    <x v="6"/>
    <x v="33"/>
    <x v="144"/>
    <x v="7"/>
    <s v="The Glenrothes 12 años"/>
    <s v="1x750"/>
    <n v="7438"/>
    <n v="11100"/>
    <n v="9990"/>
  </r>
  <r>
    <x v="2"/>
    <x v="12"/>
    <x v="6"/>
    <x v="33"/>
    <x v="145"/>
    <x v="6"/>
    <s v="Glenfiddich 12 años"/>
    <s v="1x750"/>
    <n v="4272.76"/>
    <n v="6660"/>
    <n v="5994"/>
  </r>
  <r>
    <x v="2"/>
    <x v="12"/>
    <x v="6"/>
    <x v="33"/>
    <x v="145"/>
    <x v="7"/>
    <s v="Glenfiddich 15 años"/>
    <s v="1x750"/>
    <n v="7418.0380999999998"/>
    <n v="12220"/>
    <n v="10998"/>
  </r>
  <r>
    <x v="2"/>
    <x v="12"/>
    <x v="6"/>
    <x v="33"/>
    <x v="145"/>
    <x v="7"/>
    <s v="Glenfiddich 18 años"/>
    <s v="1x750"/>
    <n v="13589"/>
    <n v="21100"/>
    <n v="18990"/>
  </r>
  <r>
    <x v="2"/>
    <x v="12"/>
    <x v="6"/>
    <x v="33"/>
    <x v="145"/>
    <x v="7"/>
    <s v="Glenfiddich Explorer´s Collection (estuche 12, 15 y 18 años)"/>
    <s v="3x200"/>
    <n v="7410"/>
    <n v="12220"/>
    <n v="10998"/>
  </r>
  <r>
    <x v="2"/>
    <x v="12"/>
    <x v="6"/>
    <x v="33"/>
    <x v="146"/>
    <x v="6"/>
    <s v="Scapa Skiren "/>
    <s v="1x750"/>
    <n v="5189"/>
    <n v="7770"/>
    <n v="6993"/>
  </r>
  <r>
    <x v="2"/>
    <x v="12"/>
    <x v="6"/>
    <x v="33"/>
    <x v="147"/>
    <x v="4"/>
    <s v="Glenmorangie The Original x750ml"/>
    <s v="1x750"/>
    <n v="5240.2463999999991"/>
    <n v="0"/>
    <n v="0"/>
  </r>
  <r>
    <x v="2"/>
    <x v="12"/>
    <x v="6"/>
    <x v="33"/>
    <x v="148"/>
    <x v="4"/>
    <s v="Macallan Fine Oak 12 años x700ml"/>
    <s v="1x750"/>
    <n v="5127.96"/>
    <n v="0"/>
    <n v="0"/>
  </r>
  <r>
    <x v="2"/>
    <x v="12"/>
    <x v="6"/>
    <x v="33"/>
    <x v="149"/>
    <x v="7"/>
    <s v="Longmorn The destiller´s choice"/>
    <s v="1x750"/>
    <n v="8981.06"/>
    <n v="12550"/>
    <n v="11295"/>
  </r>
  <r>
    <x v="2"/>
    <x v="12"/>
    <x v="6"/>
    <x v="33"/>
    <x v="150"/>
    <x v="5"/>
    <s v="Singleton 12 años"/>
    <s v="1x700"/>
    <n v="2659.7460600000004"/>
    <n v="4330"/>
    <n v="3897"/>
  </r>
  <r>
    <x v="2"/>
    <x v="12"/>
    <x v="6"/>
    <x v="33"/>
    <x v="150"/>
    <x v="6"/>
    <s v="Singleton 15 años"/>
    <s v="1x700"/>
    <n v="3989.62"/>
    <n v="6660"/>
    <n v="5994"/>
  </r>
  <r>
    <x v="2"/>
    <x v="12"/>
    <x v="6"/>
    <x v="33"/>
    <x v="150"/>
    <x v="6"/>
    <s v="Singleton 18 años"/>
    <s v="1x700"/>
    <n v="5984.26"/>
    <n v="9990"/>
    <n v="8991"/>
  </r>
  <r>
    <x v="2"/>
    <x v="12"/>
    <x v="6"/>
    <x v="33"/>
    <x v="151"/>
    <x v="6"/>
    <s v="Talisker 10 años"/>
    <s v="1x700"/>
    <n v="4255.6023070000001"/>
    <n v="6990"/>
    <n v="6291"/>
  </r>
  <r>
    <x v="2"/>
    <x v="12"/>
    <x v="6"/>
    <x v="33"/>
    <x v="152"/>
    <x v="6"/>
    <s v="Cardhu 12 años"/>
    <s v="1x700"/>
    <n v="4521.58"/>
    <n v="7330"/>
    <n v="6597"/>
  </r>
  <r>
    <x v="2"/>
    <x v="12"/>
    <x v="6"/>
    <x v="33"/>
    <x v="153"/>
    <x v="6"/>
    <s v="Caol Ila 12 años"/>
    <s v="1x700"/>
    <n v="4521.58"/>
    <n v="7330"/>
    <n v="6597"/>
  </r>
  <r>
    <x v="2"/>
    <x v="12"/>
    <x v="6"/>
    <x v="33"/>
    <x v="154"/>
    <x v="6"/>
    <s v="Cragganmore 12 años"/>
    <s v="1x750"/>
    <n v="4521.58"/>
    <n v="7330"/>
    <n v="6597"/>
  </r>
  <r>
    <x v="2"/>
    <x v="12"/>
    <x v="6"/>
    <x v="33"/>
    <x v="155"/>
    <x v="6"/>
    <s v="Glen Elguin 12 años"/>
    <s v="1x750"/>
    <n v="4521.58"/>
    <n v="7330"/>
    <n v="6597"/>
  </r>
  <r>
    <x v="2"/>
    <x v="12"/>
    <x v="6"/>
    <x v="33"/>
    <x v="156"/>
    <x v="6"/>
    <s v="Glenkinchie 12 años"/>
    <s v="1x750"/>
    <n v="4521.58"/>
    <n v="7330"/>
    <n v="6597"/>
  </r>
  <r>
    <x v="2"/>
    <x v="12"/>
    <x v="6"/>
    <x v="33"/>
    <x v="157"/>
    <x v="6"/>
    <s v="Clynelish 14 años"/>
    <s v="1x750"/>
    <n v="4787.5542439999999"/>
    <n v="7880"/>
    <n v="7092"/>
  </r>
  <r>
    <x v="3"/>
    <x v="13"/>
    <x v="6"/>
    <x v="33"/>
    <x v="158"/>
    <x v="5"/>
    <s v="Mix Mendoza (Trumpeter CS, Nicasia CF, La Linda M, Sophenia Rva M, P. Toso Estate Malbec, Claroscuro M)"/>
    <s v="Combo 6 bot."/>
    <n v="2258.043429752066"/>
    <n v="3560"/>
    <n v="3204"/>
  </r>
  <r>
    <x v="3"/>
    <x v="13"/>
    <x v="6"/>
    <x v="33"/>
    <x v="158"/>
    <x v="6"/>
    <s v="Mix Varietales Reserve (Rutini CS-M, Luigi Cab. Sauv, Saint Felicien Malbec, Zuccardi Q Tempranillo, Lagarde Guarda Cab. Franc, Clos de los 7)"/>
    <s v="Combo 6 bot."/>
    <n v="3762.31"/>
    <n v="6000"/>
    <n v="5400"/>
  </r>
  <r>
    <x v="3"/>
    <x v="13"/>
    <x v="6"/>
    <x v="33"/>
    <x v="158"/>
    <x v="5"/>
    <s v="Mix Mosquita Wines (1x Mosquita Muerta; 1x Sapo de otro pozo; 1x Pispi)"/>
    <s v="Combo 3 bot."/>
    <n v="2385.04"/>
    <n v="3450"/>
    <n v="3105"/>
  </r>
  <r>
    <x v="3"/>
    <x v="13"/>
    <x v="6"/>
    <x v="33"/>
    <x v="158"/>
    <x v="5"/>
    <s v="Mix Selección Premier ( 1x Carmela Durigutti Rva Malbec, Pasc. Toso Rva Malbec, Angelo Mattei Malbec)"/>
    <s v="Combo 3 bot."/>
    <n v="1791.2724517906336"/>
    <n v="3230"/>
    <n v="2907"/>
  </r>
  <r>
    <x v="3"/>
    <x v="13"/>
    <x v="6"/>
    <x v="33"/>
    <x v="158"/>
    <x v="5"/>
    <s v="Mix Malbec (2x Luigi Bosca; 2x Nicasia; 2x Trumpeter)"/>
    <s v="Combo 6 bot."/>
    <n v="3088.62"/>
    <n v="4450"/>
    <n v="4005"/>
  </r>
  <r>
    <x v="3"/>
    <x v="13"/>
    <x v="6"/>
    <x v="33"/>
    <x v="158"/>
    <x v="6"/>
    <s v="Mix Malbec Premier (2x Luigi Bosca DOC; 2x Numina; 2x DV Mal-Mal)"/>
    <s v="Combo 6 bot."/>
    <n v="5642.76"/>
    <n v="8560"/>
    <n v="7704"/>
  </r>
  <r>
    <x v="3"/>
    <x v="13"/>
    <x v="6"/>
    <x v="33"/>
    <x v="158"/>
    <x v="6"/>
    <s v="Mix Blancos (2x Luigi Bosca Chardonnay; 2x Saint Felicien Chardonnay; 2x San Pedro Torrontés)"/>
    <s v="Combo 6 bot."/>
    <n v="3546.0520661157025"/>
    <n v="5450"/>
    <n v="4905"/>
  </r>
  <r>
    <x v="3"/>
    <x v="13"/>
    <x v="6"/>
    <x v="33"/>
    <x v="158"/>
    <x v="6"/>
    <s v="Mix Iconos Blend ( 2x Rutini Cab-Mel; 2x DV Cab-Mal; 2x Luigi Bosca De Sangre)"/>
    <s v="Combo 6 bot."/>
    <n v="4863.38"/>
    <n v="7000"/>
    <n v="6300"/>
  </r>
  <r>
    <x v="3"/>
    <x v="13"/>
    <x v="6"/>
    <x v="33"/>
    <x v="158"/>
    <x v="6"/>
    <s v="Mix Zuccardi (2x Zuccardi Q Malbec; 2x Zuccardi Q Cab. Sauv., 2x Zuccardi Q Tempranillo)"/>
    <s v="Combo 6 bot."/>
    <n v="4725.66"/>
    <n v="7120"/>
    <n v="6408"/>
  </r>
  <r>
    <x v="3"/>
    <x v="13"/>
    <x v="6"/>
    <x v="33"/>
    <x v="158"/>
    <x v="6"/>
    <s v="Mix Luigi Bosca (2x DOC; 2x de Sangre; 2x varietal)"/>
    <s v="Combo 6 bot."/>
    <n v="4667.38"/>
    <n v="7340"/>
    <n v="6606"/>
  </r>
  <r>
    <x v="3"/>
    <x v="13"/>
    <x v="6"/>
    <x v="33"/>
    <x v="158"/>
    <x v="5"/>
    <s v="Mix Claroscuro (2x Gran Malbec; 2x Gran Pinot Noir; 2x Cabernet Franc)"/>
    <s v="Combo 6 bot."/>
    <n v="2604"/>
    <n v="4890"/>
    <n v="4401"/>
  </r>
  <r>
    <x v="3"/>
    <x v="13"/>
    <x v="6"/>
    <x v="33"/>
    <x v="158"/>
    <x v="6"/>
    <s v="Mix La Mascota (2x Gran Mascota Malbec; 2x Mascota Cab. Sauv.; 2x Mascota Malbec)"/>
    <s v="Combo 6 bot."/>
    <n v="4219.9066799272787"/>
    <n v="6340"/>
    <n v="5706"/>
  </r>
  <r>
    <x v="3"/>
    <x v="13"/>
    <x v="6"/>
    <x v="33"/>
    <x v="158"/>
    <x v="6"/>
    <s v="Mix Sophenia (2x Synthesis Blend;2x Synthesis Malbec; 2x Sophenia Rva Malbec)"/>
    <s v="Combo 6 bot."/>
    <n v="4933.5200000000004"/>
    <n v="7120"/>
    <n v="6408"/>
  </r>
  <r>
    <x v="3"/>
    <x v="13"/>
    <x v="6"/>
    <x v="33"/>
    <x v="158"/>
    <x v="6"/>
    <s v="Mix Rutini (2x Cab-Mal; 2x Cabernet; 2x Malbec)"/>
    <s v="Combo 6 bot."/>
    <n v="6676"/>
    <n v="9560"/>
    <n v="8604"/>
  </r>
  <r>
    <x v="3"/>
    <x v="13"/>
    <x v="6"/>
    <x v="33"/>
    <x v="158"/>
    <x v="7"/>
    <s v="Mix El Enemigo (2x Enemigo Malbec; 2x Enemigo Cabernet Franc; 2x Enemigo Chardonnay)"/>
    <s v="Combo 6 bot."/>
    <n v="7243.5"/>
    <n v="11000"/>
    <n v="9900"/>
  </r>
  <r>
    <x v="3"/>
    <x v="13"/>
    <x v="6"/>
    <x v="33"/>
    <x v="158"/>
    <x v="7"/>
    <s v="Mix El Enemigo Premier (2x Gran Enemigo; 2x Enemigo Malbec; 2x Enemigo Cabernet Franc)"/>
    <s v="Combo 6 bot."/>
    <n v="9190.5"/>
    <n v="14230"/>
    <n v="12807"/>
  </r>
  <r>
    <x v="3"/>
    <x v="13"/>
    <x v="6"/>
    <x v="33"/>
    <x v="158"/>
    <x v="6"/>
    <s v="Mix Angelica Zapata ( 1xMalbec; 1x Cab. Sauv.; 1x Cab. Franc; 1x Merlot)"/>
    <s v="Combo 4 bot."/>
    <n v="5731"/>
    <n v="8560"/>
    <n v="7704"/>
  </r>
  <r>
    <x v="3"/>
    <x v="13"/>
    <x v="6"/>
    <x v="33"/>
    <x v="158"/>
    <x v="6"/>
    <s v="Mix Familia Catena (1xNicasia; M 1x Saint Felicien M; 1x DV Cab-Mal; 1x Angelica CS; 1x Enemigo M; 1x Gran Enemigo"/>
    <s v="Combo 6 bot."/>
    <n v="6272.75"/>
    <n v="9560"/>
    <n v="8604"/>
  </r>
  <r>
    <x v="3"/>
    <x v="13"/>
    <x v="6"/>
    <x v="33"/>
    <x v="158"/>
    <x v="7"/>
    <s v="Mix Luca by Laura Catena (2x Malbec; 1x Luca Beso de Dante; 1x Pinot; 1x Syrah; 1x Chardonnay)"/>
    <s v="Combo 6 bot."/>
    <n v="8051.2892561983463"/>
    <n v="12340"/>
    <n v="11106"/>
  </r>
  <r>
    <x v="3"/>
    <x v="13"/>
    <x v="6"/>
    <x v="33"/>
    <x v="158"/>
    <x v="7"/>
    <s v="Mix Yacochuya (2x Yacochuya Malbec;2x San Pedro Malbec; 2x San Pedro Torrontés)"/>
    <s v="Combo 6 bot."/>
    <n v="9569.7520661157032"/>
    <n v="13890"/>
    <n v="12501"/>
  </r>
  <r>
    <x v="3"/>
    <x v="13"/>
    <x v="6"/>
    <x v="33"/>
    <x v="158"/>
    <x v="6"/>
    <s v="Mix Catena ( 2x Nicasia Malbec; 2x Saint Felicien Malbec; 2x DV Cab-Mal)"/>
    <s v="Combo 6 bot."/>
    <n v="3586"/>
    <n v="5230"/>
    <n v="4707"/>
  </r>
  <r>
    <x v="3"/>
    <x v="13"/>
    <x v="6"/>
    <x v="33"/>
    <x v="158"/>
    <x v="7"/>
    <s v="Mix Catena Premier ( 2x Gran Enemigo; 2x Angelica Cabernet; 2x DV Mal-Mal)"/>
    <s v="Combo 6 bot."/>
    <n v="8981.5"/>
    <n v="13670"/>
    <n v="12303"/>
  </r>
  <r>
    <x v="3"/>
    <x v="13"/>
    <x v="6"/>
    <x v="33"/>
    <x v="158"/>
    <x v="7"/>
    <s v="Mix Gran Enemigo ( 1x Corte; 1x Chacayes; 1x Agrelo)"/>
    <s v="Combo 3 bot."/>
    <n v="6261.75"/>
    <n v="10000"/>
    <n v="9000"/>
  </r>
  <r>
    <x v="3"/>
    <x v="13"/>
    <x v="6"/>
    <x v="33"/>
    <x v="158"/>
    <x v="7"/>
    <s v="Mix Iconos Marken ( 1x Malbec Argentino; 1x Nicolas Catena; 1x Cheval Des Andes)"/>
    <s v="Combo 3 bot."/>
    <n v="19148.75"/>
    <n v="29780"/>
    <n v="26802"/>
  </r>
  <r>
    <x v="3"/>
    <x v="14"/>
    <x v="6"/>
    <x v="33"/>
    <x v="129"/>
    <x v="4"/>
    <s v="Absolut x750ml + 4pack Red Bull"/>
    <s v="N/A"/>
    <e v="#REF!"/>
    <n v="2330"/>
    <n v="2097"/>
  </r>
  <r>
    <x v="3"/>
    <x v="14"/>
    <x v="6"/>
    <x v="33"/>
    <x v="129"/>
    <x v="4"/>
    <s v="Absolut Raspberry x750ml + 4pack Red Bull"/>
    <s v="N/A"/>
    <e v="#REF!"/>
    <n v="2500"/>
    <n v="2250"/>
  </r>
  <r>
    <x v="3"/>
    <x v="14"/>
    <x v="6"/>
    <x v="33"/>
    <x v="129"/>
    <x v="4"/>
    <s v="Absolut Mango x750ml + 4pack Red Bull"/>
    <s v="N/A"/>
    <e v="#REF!"/>
    <n v="2500"/>
    <n v="2250"/>
  </r>
  <r>
    <x v="3"/>
    <x v="14"/>
    <x v="6"/>
    <x v="33"/>
    <x v="129"/>
    <x v="4"/>
    <s v="Absolut Grapefruit x750ml + 4pack Red Bull"/>
    <s v="N/A"/>
    <e v="#REF!"/>
    <n v="2500"/>
    <n v="2250"/>
  </r>
  <r>
    <x v="3"/>
    <x v="14"/>
    <x v="6"/>
    <x v="33"/>
    <x v="129"/>
    <x v="4"/>
    <s v="Absolut Apple x750ml + 4pack Red Bull"/>
    <s v="N/A"/>
    <e v="#REF!"/>
    <n v="2500"/>
    <n v="2250"/>
  </r>
  <r>
    <x v="3"/>
    <x v="14"/>
    <x v="6"/>
    <x v="33"/>
    <x v="129"/>
    <x v="4"/>
    <s v="Absolut Pears x750ml + 4pack Red Bull"/>
    <s v="N/A"/>
    <e v="#REF!"/>
    <n v="2500"/>
    <n v="2250"/>
  </r>
  <r>
    <x v="3"/>
    <x v="14"/>
    <x v="6"/>
    <x v="33"/>
    <x v="140"/>
    <x v="4"/>
    <s v="J. Walker Red x750ml + 4pack Red Bull"/>
    <s v="N/A"/>
    <e v="#REF!"/>
    <n v="2550"/>
    <n v="2295"/>
  </r>
  <r>
    <x v="3"/>
    <x v="14"/>
    <x v="6"/>
    <x v="33"/>
    <x v="123"/>
    <x v="4"/>
    <s v="Jägermeister x700ml + 4pack Red Bull"/>
    <s v="N/A"/>
    <e v="#REF!"/>
    <n v="2990"/>
    <n v="2691"/>
  </r>
  <r>
    <x v="3"/>
    <x v="14"/>
    <x v="6"/>
    <x v="33"/>
    <x v="118"/>
    <x v="6"/>
    <s v="Hendrick´s x700ml + 4 latas San Pellegrino"/>
    <s v="N/A"/>
    <e v="#REF!"/>
    <n v="6440"/>
    <n v="5796"/>
  </r>
  <r>
    <x v="3"/>
    <x v="14"/>
    <x v="6"/>
    <x v="33"/>
    <x v="119"/>
    <x v="6"/>
    <s v="Monkey 47 + 4 latas San Pellegrino"/>
    <s v="N/A"/>
    <e v="#REF!"/>
    <n v="8220"/>
    <n v="7398"/>
  </r>
  <r>
    <x v="3"/>
    <x v="14"/>
    <x v="6"/>
    <x v="33"/>
    <x v="120"/>
    <x v="6"/>
    <s v="Gin Mare + 4 latas San Pellegrino"/>
    <s v="N/A"/>
    <e v="#REF!"/>
    <n v="9990"/>
    <n v="8991"/>
  </r>
  <r>
    <x v="4"/>
    <x v="13"/>
    <x v="6"/>
    <x v="33"/>
    <x v="14"/>
    <x v="4"/>
    <s v="Alma Negra Blend estuche x1"/>
    <s v="6x750"/>
    <n v="1050"/>
    <n v="1660"/>
    <n v="1494"/>
  </r>
  <r>
    <x v="4"/>
    <x v="13"/>
    <x v="6"/>
    <x v="33"/>
    <x v="159"/>
    <x v="7"/>
    <s v="La Linterna Malbec Gualtallary 2013 estuche x1"/>
    <s v="1x750"/>
    <n v="3650"/>
    <n v="11100"/>
    <n v="9990"/>
  </r>
  <r>
    <x v="4"/>
    <x v="13"/>
    <x v="6"/>
    <x v="33"/>
    <x v="24"/>
    <x v="5"/>
    <s v="Estuche Madera x1 Bramare Apellation"/>
    <s v="1x750"/>
    <n v="3283.69"/>
    <n v="3550"/>
    <n v="3195"/>
  </r>
  <r>
    <x v="4"/>
    <x v="13"/>
    <x v="6"/>
    <x v="33"/>
    <x v="10"/>
    <x v="5"/>
    <s v="Estuche Madera x1 El Gran Enemigo"/>
    <s v="1x750"/>
    <n v="2884.64"/>
    <n v="3330"/>
    <n v="2997"/>
  </r>
  <r>
    <x v="4"/>
    <x v="13"/>
    <x v="6"/>
    <x v="33"/>
    <x v="40"/>
    <x v="5"/>
    <s v="Estuche Madera x1 Yacochuya Malbec"/>
    <s v="1x750"/>
    <n v="3648.3817355371903"/>
    <n v="4110"/>
    <n v="3699"/>
  </r>
  <r>
    <x v="4"/>
    <x v="13"/>
    <x v="6"/>
    <x v="33"/>
    <x v="11"/>
    <x v="6"/>
    <s v="Estuche Madera x1 Nicolas Catena"/>
    <s v="1x750"/>
    <n v="7059.1400000000012"/>
    <n v="8880"/>
    <n v="7992"/>
  </r>
  <r>
    <x v="4"/>
    <x v="13"/>
    <x v="6"/>
    <x v="33"/>
    <x v="12"/>
    <x v="6"/>
    <s v="Estuche Madera x1 Malbec Argentino"/>
    <s v="1x750"/>
    <n v="6484.3900000000012"/>
    <n v="8880"/>
    <n v="7992"/>
  </r>
  <r>
    <x v="4"/>
    <x v="13"/>
    <x v="6"/>
    <x v="33"/>
    <x v="13"/>
    <x v="7"/>
    <s v="Estuche Madera x1 Cheval Des Andes"/>
    <s v="1x750"/>
    <n v="7997.39"/>
    <n v="12120"/>
    <n v="10908"/>
  </r>
  <r>
    <x v="4"/>
    <x v="13"/>
    <x v="6"/>
    <x v="33"/>
    <x v="8"/>
    <x v="5"/>
    <s v="Estuche Madera x2 Angelica Zapata (Malbec &amp; Cab. Sauv.)"/>
    <s v="2x750"/>
    <n v="4633.3099999999995"/>
    <n v="4720"/>
    <n v="4248"/>
  </r>
  <r>
    <x v="4"/>
    <x v="13"/>
    <x v="6"/>
    <x v="33"/>
    <x v="158"/>
    <x v="6"/>
    <s v="Estuche Madera x2 El Enemigo Premier (El Enemigo &amp; El Gran Enemigo)"/>
    <s v="2x750"/>
    <n v="4746.0599999999995"/>
    <n v="5210"/>
    <n v="4689"/>
  </r>
  <r>
    <x v="4"/>
    <x v="13"/>
    <x v="6"/>
    <x v="33"/>
    <x v="10"/>
    <x v="6"/>
    <s v="Estuche Madera x2 Gran Enemigo"/>
    <s v="2x750"/>
    <n v="5579.3099999999995"/>
    <n v="6650"/>
    <n v="5985"/>
  </r>
  <r>
    <x v="4"/>
    <x v="13"/>
    <x v="6"/>
    <x v="33"/>
    <x v="158"/>
    <x v="7"/>
    <s v="Estuche Madera x2 (El Gran Enemigo &amp; Malbec Argentino)"/>
    <s v="2x750"/>
    <n v="9179.0600000000013"/>
    <n v="12210"/>
    <n v="10989"/>
  </r>
  <r>
    <x v="4"/>
    <x v="13"/>
    <x v="6"/>
    <x v="33"/>
    <x v="158"/>
    <x v="7"/>
    <s v="Estuche Madera x2 Iconos Catena (Malbec Argentino &amp; Nicolas Catena)"/>
    <s v="2x750"/>
    <n v="13353.560000000001"/>
    <n v="17760"/>
    <n v="15984"/>
  </r>
  <r>
    <x v="4"/>
    <x v="13"/>
    <x v="6"/>
    <x v="33"/>
    <x v="158"/>
    <x v="7"/>
    <s v="Estuche Madera x2 Grandes Exponentes (Malbec Argentino &amp; Cheval Des Andes)"/>
    <s v="2x750"/>
    <n v="14291.810000000001"/>
    <n v="20990"/>
    <n v="18891"/>
  </r>
  <r>
    <x v="4"/>
    <x v="13"/>
    <x v="6"/>
    <x v="33"/>
    <x v="158"/>
    <x v="6"/>
    <s v="Estuche Madera x3 El Enemigo (Cab. Franc, Malbec, Bonarda)"/>
    <s v="3x750"/>
    <n v="4942.41"/>
    <n v="5750"/>
    <n v="5175"/>
  </r>
  <r>
    <x v="4"/>
    <x v="13"/>
    <x v="6"/>
    <x v="33"/>
    <x v="158"/>
    <x v="6"/>
    <s v="Estuche Madera x3 Angelica Zapata (Cab. Sauv., Cab. Franc, Malbec)"/>
    <s v="3x750"/>
    <n v="5770.16"/>
    <n v="6880"/>
    <n v="6192"/>
  </r>
  <r>
    <x v="4"/>
    <x v="13"/>
    <x v="6"/>
    <x v="33"/>
    <x v="158"/>
    <x v="6"/>
    <s v="Estuche Madera x3 De Autor (Nicola Catena Bonarda, Polígonos San Pablo Malbec; Pedregal)"/>
    <s v="3x750"/>
    <n v="6193.8011845730025"/>
    <n v="8530"/>
    <n v="7677"/>
  </r>
  <r>
    <x v="4"/>
    <x v="13"/>
    <x v="6"/>
    <x v="33"/>
    <x v="158"/>
    <x v="6"/>
    <s v="Estuche Madera x3 Gran Enemigo (Corte, Chacayes &amp; Agrelo)"/>
    <s v="3x750"/>
    <n v="7345.91"/>
    <n v="9970"/>
    <n v="8973"/>
  </r>
  <r>
    <x v="4"/>
    <x v="13"/>
    <x v="6"/>
    <x v="33"/>
    <x v="158"/>
    <x v="7"/>
    <s v="Estuche Madera x3 Selección Premier (Bramare; Luca Beso de Dante; Yacochuya Malbec )"/>
    <s v="3x750"/>
    <n v="8193.3195041322324"/>
    <n v="10420"/>
    <n v="9378"/>
  </r>
  <r>
    <x v="4"/>
    <x v="13"/>
    <x v="6"/>
    <x v="33"/>
    <x v="158"/>
    <x v="7"/>
    <s v="Estuche Madera x3 Iconos Marken (Nicolas Catena, Malbec Argentino, Cheval Des Andes)"/>
    <s v="3x750"/>
    <n v="20232.910000000003"/>
    <n v="29870"/>
    <n v="26883"/>
  </r>
  <r>
    <x v="4"/>
    <x v="15"/>
    <x v="6"/>
    <x v="33"/>
    <x v="140"/>
    <x v="5"/>
    <s v="J. Walker Black Label + Vasos (Special Edition)"/>
    <s v="1x750"/>
    <n v="2657.08428"/>
    <n v="4330"/>
    <n v="3897"/>
  </r>
  <r>
    <x v="4"/>
    <x v="15"/>
    <x v="6"/>
    <x v="33"/>
    <x v="140"/>
    <x v="6"/>
    <s v="J. Walker Double Black Label + Vasos (Special Edition)"/>
    <s v="1x750"/>
    <n v="2952.3260400000004"/>
    <n v="5550"/>
    <n v="4995"/>
  </r>
  <r>
    <x v="4"/>
    <x v="15"/>
    <x v="6"/>
    <x v="33"/>
    <x v="140"/>
    <x v="6"/>
    <s v="J. Walker Gold Label + Vasos (Special Edition)"/>
    <s v="1x750"/>
    <n v="5264.7000000000007"/>
    <n v="7880"/>
    <n v="7092"/>
  </r>
  <r>
    <x v="4"/>
    <x v="15"/>
    <x v="6"/>
    <x v="33"/>
    <x v="140"/>
    <x v="7"/>
    <s v="J. Walker Green Label + Vasos (Special Edition)"/>
    <s v="1x750"/>
    <n v="6700.9886400000005"/>
    <n v="11100"/>
    <n v="9990"/>
  </r>
  <r>
    <x v="4"/>
    <x v="15"/>
    <x v="6"/>
    <x v="33"/>
    <x v="140"/>
    <x v="7"/>
    <s v="J. Walker 18 Años + Vasos (Special Edition)"/>
    <s v="1x750"/>
    <n v="9334.0340600000018"/>
    <n v="13880"/>
    <n v="12492"/>
  </r>
  <r>
    <x v="4"/>
    <x v="15"/>
    <x v="6"/>
    <x v="33"/>
    <x v="140"/>
    <x v="7"/>
    <s v="J. Walker Blue Label + Vasos (Special Edition)"/>
    <s v="1x750"/>
    <n v="19519.127040000003"/>
    <n v="33990"/>
    <n v="30591"/>
  </r>
  <r>
    <x v="0"/>
    <x v="16"/>
    <x v="17"/>
    <x v="34"/>
    <x v="160"/>
    <x v="8"/>
    <m/>
    <m/>
    <m/>
    <m/>
    <m/>
  </r>
  <r>
    <x v="0"/>
    <x v="16"/>
    <x v="18"/>
    <x v="34"/>
    <x v="160"/>
    <x v="8"/>
    <m/>
    <m/>
    <m/>
    <m/>
    <m/>
  </r>
  <r>
    <x v="0"/>
    <x v="16"/>
    <x v="19"/>
    <x v="34"/>
    <x v="160"/>
    <x v="8"/>
    <m/>
    <m/>
    <m/>
    <m/>
    <m/>
  </r>
  <r>
    <x v="0"/>
    <x v="16"/>
    <x v="20"/>
    <x v="34"/>
    <x v="160"/>
    <x v="8"/>
    <m/>
    <m/>
    <m/>
    <m/>
    <m/>
  </r>
  <r>
    <x v="0"/>
    <x v="16"/>
    <x v="21"/>
    <x v="34"/>
    <x v="160"/>
    <x v="8"/>
    <m/>
    <m/>
    <m/>
    <m/>
    <m/>
  </r>
  <r>
    <x v="0"/>
    <x v="16"/>
    <x v="22"/>
    <x v="34"/>
    <x v="160"/>
    <x v="8"/>
    <m/>
    <m/>
    <m/>
    <m/>
    <m/>
  </r>
  <r>
    <x v="0"/>
    <x v="16"/>
    <x v="23"/>
    <x v="34"/>
    <x v="160"/>
    <x v="8"/>
    <m/>
    <m/>
    <m/>
    <m/>
    <m/>
  </r>
  <r>
    <x v="0"/>
    <x v="16"/>
    <x v="24"/>
    <x v="34"/>
    <x v="160"/>
    <x v="8"/>
    <m/>
    <m/>
    <m/>
    <m/>
    <m/>
  </r>
  <r>
    <x v="0"/>
    <x v="16"/>
    <x v="25"/>
    <x v="34"/>
    <x v="160"/>
    <x v="8"/>
    <m/>
    <m/>
    <m/>
    <m/>
    <m/>
  </r>
  <r>
    <x v="0"/>
    <x v="16"/>
    <x v="26"/>
    <x v="34"/>
    <x v="160"/>
    <x v="8"/>
    <m/>
    <m/>
    <m/>
    <m/>
    <m/>
  </r>
  <r>
    <x v="0"/>
    <x v="16"/>
    <x v="27"/>
    <x v="34"/>
    <x v="160"/>
    <x v="8"/>
    <m/>
    <m/>
    <m/>
    <m/>
    <m/>
  </r>
  <r>
    <x v="0"/>
    <x v="16"/>
    <x v="28"/>
    <x v="34"/>
    <x v="160"/>
    <x v="8"/>
    <m/>
    <m/>
    <m/>
    <m/>
    <m/>
  </r>
  <r>
    <x v="0"/>
    <x v="16"/>
    <x v="29"/>
    <x v="34"/>
    <x v="160"/>
    <x v="8"/>
    <m/>
    <m/>
    <m/>
    <m/>
    <m/>
  </r>
  <r>
    <x v="0"/>
    <x v="16"/>
    <x v="30"/>
    <x v="34"/>
    <x v="160"/>
    <x v="8"/>
    <m/>
    <m/>
    <m/>
    <m/>
    <m/>
  </r>
  <r>
    <x v="0"/>
    <x v="16"/>
    <x v="31"/>
    <x v="34"/>
    <x v="160"/>
    <x v="8"/>
    <m/>
    <m/>
    <m/>
    <m/>
    <m/>
  </r>
  <r>
    <x v="0"/>
    <x v="16"/>
    <x v="32"/>
    <x v="34"/>
    <x v="160"/>
    <x v="8"/>
    <m/>
    <m/>
    <m/>
    <m/>
    <m/>
  </r>
  <r>
    <x v="0"/>
    <x v="16"/>
    <x v="33"/>
    <x v="34"/>
    <x v="160"/>
    <x v="8"/>
    <m/>
    <m/>
    <m/>
    <m/>
    <m/>
  </r>
  <r>
    <x v="0"/>
    <x v="16"/>
    <x v="34"/>
    <x v="34"/>
    <x v="160"/>
    <x v="8"/>
    <m/>
    <m/>
    <m/>
    <m/>
    <m/>
  </r>
  <r>
    <x v="0"/>
    <x v="16"/>
    <x v="35"/>
    <x v="34"/>
    <x v="160"/>
    <x v="8"/>
    <m/>
    <m/>
    <m/>
    <m/>
    <m/>
  </r>
  <r>
    <x v="0"/>
    <x v="16"/>
    <x v="36"/>
    <x v="34"/>
    <x v="160"/>
    <x v="8"/>
    <m/>
    <m/>
    <m/>
    <m/>
    <m/>
  </r>
  <r>
    <x v="0"/>
    <x v="16"/>
    <x v="37"/>
    <x v="34"/>
    <x v="160"/>
    <x v="8"/>
    <m/>
    <m/>
    <m/>
    <m/>
    <m/>
  </r>
  <r>
    <x v="0"/>
    <x v="16"/>
    <x v="38"/>
    <x v="34"/>
    <x v="160"/>
    <x v="8"/>
    <m/>
    <m/>
    <m/>
    <m/>
    <m/>
  </r>
  <r>
    <x v="0"/>
    <x v="16"/>
    <x v="39"/>
    <x v="34"/>
    <x v="160"/>
    <x v="8"/>
    <m/>
    <m/>
    <m/>
    <m/>
    <m/>
  </r>
  <r>
    <x v="0"/>
    <x v="16"/>
    <x v="40"/>
    <x v="34"/>
    <x v="160"/>
    <x v="8"/>
    <m/>
    <m/>
    <m/>
    <m/>
    <m/>
  </r>
  <r>
    <x v="0"/>
    <x v="16"/>
    <x v="41"/>
    <x v="34"/>
    <x v="160"/>
    <x v="8"/>
    <m/>
    <m/>
    <m/>
    <m/>
    <m/>
  </r>
  <r>
    <x v="0"/>
    <x v="16"/>
    <x v="42"/>
    <x v="34"/>
    <x v="160"/>
    <x v="8"/>
    <m/>
    <m/>
    <m/>
    <m/>
    <m/>
  </r>
  <r>
    <x v="0"/>
    <x v="16"/>
    <x v="43"/>
    <x v="34"/>
    <x v="160"/>
    <x v="8"/>
    <m/>
    <m/>
    <m/>
    <m/>
    <m/>
  </r>
  <r>
    <x v="0"/>
    <x v="16"/>
    <x v="44"/>
    <x v="34"/>
    <x v="160"/>
    <x v="8"/>
    <m/>
    <m/>
    <m/>
    <m/>
    <m/>
  </r>
  <r>
    <x v="0"/>
    <x v="16"/>
    <x v="45"/>
    <x v="34"/>
    <x v="160"/>
    <x v="8"/>
    <m/>
    <m/>
    <m/>
    <m/>
    <m/>
  </r>
  <r>
    <x v="0"/>
    <x v="16"/>
    <x v="46"/>
    <x v="34"/>
    <x v="160"/>
    <x v="8"/>
    <m/>
    <m/>
    <m/>
    <m/>
    <m/>
  </r>
  <r>
    <x v="0"/>
    <x v="16"/>
    <x v="47"/>
    <x v="34"/>
    <x v="160"/>
    <x v="8"/>
    <m/>
    <m/>
    <m/>
    <m/>
    <m/>
  </r>
  <r>
    <x v="0"/>
    <x v="16"/>
    <x v="48"/>
    <x v="34"/>
    <x v="160"/>
    <x v="8"/>
    <m/>
    <m/>
    <m/>
    <m/>
    <m/>
  </r>
  <r>
    <x v="0"/>
    <x v="16"/>
    <x v="49"/>
    <x v="34"/>
    <x v="160"/>
    <x v="8"/>
    <m/>
    <m/>
    <m/>
    <m/>
    <m/>
  </r>
  <r>
    <x v="0"/>
    <x v="16"/>
    <x v="50"/>
    <x v="34"/>
    <x v="160"/>
    <x v="8"/>
    <m/>
    <m/>
    <m/>
    <m/>
    <m/>
  </r>
  <r>
    <x v="5"/>
    <x v="17"/>
    <x v="10"/>
    <x v="34"/>
    <x v="160"/>
    <x v="8"/>
    <m/>
    <m/>
    <m/>
    <m/>
    <m/>
  </r>
  <r>
    <x v="5"/>
    <x v="17"/>
    <x v="10"/>
    <x v="34"/>
    <x v="160"/>
    <x v="8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7:E15" firstHeaderRow="1" firstDataRow="1" firstDataCol="1"/>
  <pivotFields count="11">
    <pivotField axis="axisRow" showAll="0" defaultSubtotal="0">
      <items count="7">
        <item h="1" x="0"/>
        <item h="1" x="2"/>
        <item x="1"/>
        <item h="1" x="3"/>
        <item h="1"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x="16"/>
      </items>
    </pivotField>
    <pivotField axis="axisRow" showAll="0" defaultSubtotal="0">
      <items count="52">
        <item sd="0" x="4"/>
        <item sd="0" x="9"/>
        <item sd="0" x="5"/>
        <item sd="0" x="0"/>
        <item sd="0" x="2"/>
        <item sd="0" x="16"/>
        <item sd="0" x="15"/>
        <item sd="0" x="1"/>
        <item sd="0" x="8"/>
        <item x="6"/>
        <item sd="0" x="7"/>
        <item sd="0" x="3"/>
        <item sd="0" x="11"/>
        <item sd="0" x="13"/>
        <item sd="0" x="12"/>
        <item sd="0" x="14"/>
        <item sd="0" x="10"/>
        <item x="19"/>
        <item x="20"/>
        <item x="18"/>
        <item x="17"/>
        <item x="21"/>
        <item x="23"/>
        <item x="38"/>
        <item x="24"/>
        <item x="33"/>
        <item x="27"/>
        <item x="22"/>
        <item x="42"/>
        <item x="43"/>
        <item x="44"/>
        <item x="45"/>
        <item x="46"/>
        <item x="47"/>
        <item x="25"/>
        <item x="26"/>
        <item x="28"/>
        <item x="29"/>
        <item x="30"/>
        <item m="1" x="51"/>
        <item x="32"/>
        <item x="34"/>
        <item x="35"/>
        <item x="36"/>
        <item x="37"/>
        <item x="39"/>
        <item x="40"/>
        <item x="41"/>
        <item x="48"/>
        <item x="49"/>
        <item x="50"/>
        <item x="31"/>
      </items>
    </pivotField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3">
    <field x="0"/>
    <field x="1"/>
    <field x="2"/>
  </rowFields>
  <rowItems count="8">
    <i>
      <x v="2"/>
    </i>
    <i r="1">
      <x v="3"/>
    </i>
    <i r="1">
      <x v="4"/>
    </i>
    <i r="1">
      <x v="5"/>
    </i>
    <i r="1">
      <x v="6"/>
    </i>
    <i r="1">
      <x v="7"/>
    </i>
    <i r="1">
      <x v="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0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7:C12" firstHeaderRow="1" firstDataRow="1" firstDataCol="1"/>
  <pivotFields count="11">
    <pivotField axis="axisRow" showAll="0" defaultSubtotal="0">
      <items count="7">
        <item h="1" x="0"/>
        <item x="2"/>
        <item h="1" x="1"/>
        <item h="1" x="3"/>
        <item h="1"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x="16"/>
      </items>
    </pivotField>
    <pivotField axis="axisRow" showAll="0" defaultSubtotal="0">
      <items count="52">
        <item sd="0" x="4"/>
        <item sd="0" x="9"/>
        <item sd="0" x="5"/>
        <item sd="0" x="0"/>
        <item sd="0" x="2"/>
        <item sd="0" x="16"/>
        <item sd="0" x="15"/>
        <item sd="0" x="1"/>
        <item sd="0" x="8"/>
        <item x="6"/>
        <item sd="0" x="7"/>
        <item sd="0" x="3"/>
        <item sd="0" x="11"/>
        <item sd="0" x="13"/>
        <item sd="0" x="12"/>
        <item sd="0" x="14"/>
        <item sd="0" x="10"/>
        <item x="19"/>
        <item x="20"/>
        <item x="18"/>
        <item x="17"/>
        <item x="21"/>
        <item x="23"/>
        <item x="38"/>
        <item x="24"/>
        <item x="33"/>
        <item x="27"/>
        <item x="22"/>
        <item x="42"/>
        <item x="43"/>
        <item x="44"/>
        <item x="45"/>
        <item x="46"/>
        <item x="47"/>
        <item x="25"/>
        <item x="26"/>
        <item x="28"/>
        <item x="29"/>
        <item x="30"/>
        <item m="1" x="51"/>
        <item x="32"/>
        <item x="34"/>
        <item x="35"/>
        <item x="36"/>
        <item x="37"/>
        <item x="39"/>
        <item x="40"/>
        <item x="41"/>
        <item x="48"/>
        <item x="49"/>
        <item x="50"/>
        <item x="31"/>
      </items>
    </pivotField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3">
    <field x="0"/>
    <field x="1"/>
    <field x="2"/>
  </rowFields>
  <rowItems count="5">
    <i>
      <x v="1"/>
    </i>
    <i r="1">
      <x v="2"/>
    </i>
    <i r="1">
      <x v="11"/>
    </i>
    <i r="1">
      <x v="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:A68" firstHeaderRow="1" firstDataRow="1" firstDataCol="1"/>
  <pivotFields count="11">
    <pivotField axis="axisRow" showAll="0" defaultSubtotal="0">
      <items count="7">
        <item x="0"/>
        <item h="1" x="2"/>
        <item h="1" x="1"/>
        <item h="1" x="3"/>
        <item h="1"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x="16"/>
      </items>
    </pivotField>
    <pivotField axis="axisRow" showAll="0" defaultSubtotal="0">
      <items count="52">
        <item sd="0" x="4"/>
        <item sd="0" x="9"/>
        <item sd="0" x="5"/>
        <item sd="0" x="0"/>
        <item sd="0" x="2"/>
        <item sd="0" x="16"/>
        <item sd="0" x="15"/>
        <item sd="0" x="1"/>
        <item sd="0" x="8"/>
        <item x="6"/>
        <item sd="0" x="7"/>
        <item sd="0" x="3"/>
        <item sd="0" x="11"/>
        <item sd="0" x="13"/>
        <item sd="0" x="12"/>
        <item sd="0" x="14"/>
        <item sd="0" x="10"/>
        <item x="19"/>
        <item x="20"/>
        <item x="18"/>
        <item x="17"/>
        <item x="21"/>
        <item x="23"/>
        <item x="38"/>
        <item x="24"/>
        <item x="33"/>
        <item x="27"/>
        <item x="22"/>
        <item x="42"/>
        <item x="43"/>
        <item x="44"/>
        <item x="45"/>
        <item x="46"/>
        <item x="47"/>
        <item x="25"/>
        <item x="26"/>
        <item x="28"/>
        <item x="29"/>
        <item x="30"/>
        <item m="1" x="51"/>
        <item x="32"/>
        <item x="34"/>
        <item x="35"/>
        <item x="36"/>
        <item x="37"/>
        <item x="39"/>
        <item x="40"/>
        <item x="41"/>
        <item x="48"/>
        <item x="49"/>
        <item x="50"/>
        <item x="31"/>
      </items>
    </pivotField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3">
    <field x="0"/>
    <field x="1"/>
    <field x="2"/>
  </rowFields>
  <rowItems count="61">
    <i>
      <x/>
    </i>
    <i r="1">
      <x/>
    </i>
    <i r="2">
      <x/>
    </i>
    <i r="2">
      <x v="1"/>
    </i>
    <i r="2">
      <x v="2"/>
    </i>
    <i r="2">
      <x v="3"/>
    </i>
    <i r="2">
      <x v="5"/>
    </i>
    <i r="2">
      <x v="7"/>
    </i>
    <i r="2">
      <x v="8"/>
    </i>
    <i r="2">
      <x v="10"/>
    </i>
    <i r="2">
      <x v="12"/>
    </i>
    <i r="2">
      <x v="13"/>
    </i>
    <i r="2">
      <x v="14"/>
    </i>
    <i r="2">
      <x v="15"/>
    </i>
    <i r="2">
      <x v="16"/>
    </i>
    <i r="1">
      <x v="1"/>
    </i>
    <i r="2">
      <x/>
    </i>
    <i r="2">
      <x v="4"/>
    </i>
    <i r="2">
      <x v="6"/>
    </i>
    <i r="2">
      <x v="7"/>
    </i>
    <i r="2">
      <x v="11"/>
    </i>
    <i r="2">
      <x v="15"/>
    </i>
    <i r="2">
      <x v="16"/>
    </i>
    <i r="1">
      <x v="9"/>
    </i>
    <i r="1">
      <x v="10"/>
    </i>
    <i r="1">
      <x v="19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1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7:I11" firstHeaderRow="1" firstDataRow="1" firstDataCol="1"/>
  <pivotFields count="11">
    <pivotField axis="axisRow" showAll="0" defaultSubtotal="0">
      <items count="7">
        <item h="1" x="0"/>
        <item h="1" x="2"/>
        <item h="1" x="1"/>
        <item h="1" x="3"/>
        <item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x="16"/>
      </items>
    </pivotField>
    <pivotField axis="axisRow" showAll="0" defaultSubtotal="0">
      <items count="52">
        <item sd="0" x="4"/>
        <item sd="0" x="9"/>
        <item sd="0" x="5"/>
        <item sd="0" x="0"/>
        <item sd="0" x="2"/>
        <item sd="0" x="16"/>
        <item sd="0" x="15"/>
        <item sd="0" x="1"/>
        <item sd="0" x="8"/>
        <item x="6"/>
        <item sd="0" x="7"/>
        <item sd="0" x="3"/>
        <item sd="0" x="11"/>
        <item sd="0" x="13"/>
        <item sd="0" x="12"/>
        <item sd="0" x="14"/>
        <item sd="0" x="10"/>
        <item x="19"/>
        <item x="20"/>
        <item x="18"/>
        <item x="17"/>
        <item x="21"/>
        <item x="23"/>
        <item x="38"/>
        <item x="24"/>
        <item x="33"/>
        <item x="27"/>
        <item x="22"/>
        <item x="42"/>
        <item x="43"/>
        <item x="44"/>
        <item x="45"/>
        <item x="46"/>
        <item x="47"/>
        <item x="25"/>
        <item x="26"/>
        <item x="28"/>
        <item x="29"/>
        <item x="30"/>
        <item m="1" x="51"/>
        <item x="32"/>
        <item x="34"/>
        <item x="35"/>
        <item x="36"/>
        <item x="37"/>
        <item x="39"/>
        <item x="40"/>
        <item x="41"/>
        <item x="48"/>
        <item x="49"/>
        <item x="50"/>
        <item x="31"/>
      </items>
    </pivotField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3">
    <field x="0"/>
    <field x="1"/>
    <field x="2"/>
  </rowFields>
  <rowItems count="4">
    <i>
      <x v="4"/>
    </i>
    <i r="1">
      <x v="12"/>
    </i>
    <i r="1">
      <x v="1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1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7:G11" firstHeaderRow="1" firstDataRow="1" firstDataCol="1"/>
  <pivotFields count="11">
    <pivotField axis="axisRow" showAll="0" defaultSubtotal="0">
      <items count="7">
        <item h="1" x="0"/>
        <item h="1" x="2"/>
        <item h="1" x="1"/>
        <item x="3"/>
        <item h="1"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x="16"/>
      </items>
    </pivotField>
    <pivotField axis="axisRow" showAll="0" defaultSubtotal="0">
      <items count="52">
        <item sd="0" x="4"/>
        <item sd="0" x="9"/>
        <item sd="0" x="5"/>
        <item sd="0" x="0"/>
        <item sd="0" x="2"/>
        <item sd="0" x="16"/>
        <item sd="0" x="15"/>
        <item sd="0" x="1"/>
        <item sd="0" x="8"/>
        <item x="6"/>
        <item sd="0" x="7"/>
        <item sd="0" x="3"/>
        <item sd="0" x="11"/>
        <item sd="0" x="13"/>
        <item sd="0" x="12"/>
        <item sd="0" x="14"/>
        <item sd="0" x="10"/>
        <item x="19"/>
        <item x="20"/>
        <item x="18"/>
        <item x="17"/>
        <item x="21"/>
        <item x="23"/>
        <item x="38"/>
        <item x="24"/>
        <item x="33"/>
        <item x="27"/>
        <item x="22"/>
        <item x="42"/>
        <item x="43"/>
        <item x="44"/>
        <item x="45"/>
        <item x="46"/>
        <item x="47"/>
        <item x="25"/>
        <item x="26"/>
        <item x="28"/>
        <item x="29"/>
        <item x="30"/>
        <item m="1" x="51"/>
        <item x="32"/>
        <item x="34"/>
        <item x="35"/>
        <item x="36"/>
        <item x="37"/>
        <item x="39"/>
        <item x="40"/>
        <item x="41"/>
        <item x="48"/>
        <item x="49"/>
        <item x="50"/>
        <item x="31"/>
      </items>
    </pivotField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3">
    <field x="0"/>
    <field x="1"/>
    <field x="2"/>
  </rowFields>
  <rowItems count="4">
    <i>
      <x v="3"/>
    </i>
    <i r="1">
      <x v="12"/>
    </i>
    <i r="1">
      <x v="1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Dinámica9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7:I191" firstHeaderRow="1" firstDataRow="1" firstDataCol="1"/>
  <pivotFields count="11">
    <pivotField axis="axisRow" showAll="0" defaultSubtotal="0">
      <items count="7">
        <item x="0"/>
        <item x="2"/>
        <item x="1"/>
        <item x="3"/>
        <item x="4"/>
        <item sd="0" x="5"/>
        <item m="1" x="6"/>
      </items>
    </pivotField>
    <pivotField showAll="0" defaultSubtotal="0"/>
    <pivotField showAll="0" defaultSubtotal="0"/>
    <pivotField showAll="0"/>
    <pivotField axis="axisRow" showAll="0" defaultSubtotal="0">
      <items count="161">
        <item x="142"/>
        <item x="129"/>
        <item x="60"/>
        <item x="100"/>
        <item x="14"/>
        <item x="92"/>
        <item x="122"/>
        <item x="8"/>
        <item x="49"/>
        <item x="30"/>
        <item x="65"/>
        <item x="19"/>
        <item x="121"/>
        <item x="108"/>
        <item x="62"/>
        <item x="76"/>
        <item x="113"/>
        <item x="116"/>
        <item x="24"/>
        <item x="136"/>
        <item x="115"/>
        <item x="137"/>
        <item x="153"/>
        <item x="152"/>
        <item x="72"/>
        <item x="73"/>
        <item x="17"/>
        <item x="107"/>
        <item x="93"/>
        <item x="13"/>
        <item x="141"/>
        <item x="105"/>
        <item x="38"/>
        <item x="157"/>
        <item x="23"/>
        <item x="34"/>
        <item x="35"/>
        <item x="63"/>
        <item x="27"/>
        <item x="48"/>
        <item x="87"/>
        <item x="154"/>
        <item x="91"/>
        <item x="110"/>
        <item x="16"/>
        <item x="127"/>
        <item x="70"/>
        <item x="71"/>
        <item x="7"/>
        <item x="9"/>
        <item x="96"/>
        <item x="10"/>
        <item x="22"/>
        <item x="94"/>
        <item x="79"/>
        <item x="86"/>
        <item x="120"/>
        <item x="155"/>
        <item x="145"/>
        <item x="156"/>
        <item x="147"/>
        <item x="102"/>
        <item x="84"/>
        <item x="90"/>
        <item x="131"/>
        <item x="125"/>
        <item x="118"/>
        <item x="132"/>
        <item x="61"/>
        <item x="82"/>
        <item x="133"/>
        <item x="138"/>
        <item x="123"/>
        <item x="134"/>
        <item x="140"/>
        <item x="97"/>
        <item x="66"/>
        <item x="130"/>
        <item x="2"/>
        <item x="159"/>
        <item x="101"/>
        <item x="104"/>
        <item x="36"/>
        <item x="37"/>
        <item x="33"/>
        <item x="32"/>
        <item x="45"/>
        <item x="57"/>
        <item x="117"/>
        <item x="149"/>
        <item x="20"/>
        <item x="4"/>
        <item x="3"/>
        <item x="148"/>
        <item x="80"/>
        <item x="139"/>
        <item x="12"/>
        <item x="64"/>
        <item x="50"/>
        <item x="51"/>
        <item x="52"/>
        <item x="85"/>
        <item x="58"/>
        <item x="112"/>
        <item x="119"/>
        <item x="44"/>
        <item x="89"/>
        <item x="41"/>
        <item x="158"/>
        <item x="5"/>
        <item x="21"/>
        <item x="11"/>
        <item x="68"/>
        <item x="135"/>
        <item x="95"/>
        <item x="81"/>
        <item x="78"/>
        <item x="75"/>
        <item x="77"/>
        <item x="25"/>
        <item x="18"/>
        <item x="47"/>
        <item x="43"/>
        <item x="28"/>
        <item x="69"/>
        <item x="46"/>
        <item x="74"/>
        <item x="59"/>
        <item x="109"/>
        <item x="1"/>
        <item x="88"/>
        <item x="6"/>
        <item x="67"/>
        <item x="39"/>
        <item x="42"/>
        <item x="146"/>
        <item x="99"/>
        <item x="124"/>
        <item x="15"/>
        <item x="150"/>
        <item x="128"/>
        <item x="29"/>
        <item x="106"/>
        <item x="98"/>
        <item x="31"/>
        <item x="151"/>
        <item x="114"/>
        <item x="54"/>
        <item x="56"/>
        <item x="53"/>
        <item x="55"/>
        <item x="143"/>
        <item x="144"/>
        <item x="83"/>
        <item x="0"/>
        <item x="103"/>
        <item x="111"/>
        <item x="40"/>
        <item x="126"/>
        <item x="26"/>
        <item x="160"/>
      </items>
    </pivotField>
    <pivotField showAll="0"/>
    <pivotField showAll="0" defaultSubtotal="0"/>
    <pivotField showAll="0" defaultSubtotal="0"/>
    <pivotField showAll="0"/>
    <pivotField showAll="0"/>
    <pivotField showAll="0"/>
  </pivotFields>
  <rowFields count="2">
    <field x="0"/>
    <field x="4"/>
  </rowFields>
  <rowItems count="184">
    <i>
      <x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8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1"/>
    </i>
    <i r="1">
      <x v="62"/>
    </i>
    <i r="1">
      <x v="63"/>
    </i>
    <i r="1">
      <x v="68"/>
    </i>
    <i r="1">
      <x v="69"/>
    </i>
    <i r="1">
      <x v="75"/>
    </i>
    <i r="1">
      <x v="76"/>
    </i>
    <i r="1">
      <x v="78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90"/>
    </i>
    <i r="1">
      <x v="91"/>
    </i>
    <i r="1">
      <x v="92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6"/>
    </i>
    <i r="1">
      <x v="138"/>
    </i>
    <i r="1">
      <x v="141"/>
    </i>
    <i r="1">
      <x v="142"/>
    </i>
    <i r="1">
      <x v="143"/>
    </i>
    <i r="1">
      <x v="144"/>
    </i>
    <i r="1">
      <x v="147"/>
    </i>
    <i r="1">
      <x v="148"/>
    </i>
    <i r="1">
      <x v="149"/>
    </i>
    <i r="1">
      <x v="150"/>
    </i>
    <i r="1">
      <x v="153"/>
    </i>
    <i r="1">
      <x v="154"/>
    </i>
    <i r="1">
      <x v="155"/>
    </i>
    <i r="1">
      <x v="156"/>
    </i>
    <i r="1">
      <x v="157"/>
    </i>
    <i r="1">
      <x v="159"/>
    </i>
    <i r="1">
      <x v="160"/>
    </i>
    <i>
      <x v="1"/>
    </i>
    <i r="1">
      <x/>
    </i>
    <i r="1">
      <x v="19"/>
    </i>
    <i r="1">
      <x v="21"/>
    </i>
    <i r="1">
      <x v="22"/>
    </i>
    <i r="1">
      <x v="23"/>
    </i>
    <i r="1">
      <x v="30"/>
    </i>
    <i r="1">
      <x v="33"/>
    </i>
    <i r="1">
      <x v="41"/>
    </i>
    <i r="1">
      <x v="57"/>
    </i>
    <i r="1">
      <x v="58"/>
    </i>
    <i r="1">
      <x v="59"/>
    </i>
    <i r="1">
      <x v="60"/>
    </i>
    <i r="1">
      <x v="70"/>
    </i>
    <i r="1">
      <x v="71"/>
    </i>
    <i r="1">
      <x v="73"/>
    </i>
    <i r="1">
      <x v="74"/>
    </i>
    <i r="1">
      <x v="89"/>
    </i>
    <i r="1">
      <x v="93"/>
    </i>
    <i r="1">
      <x v="95"/>
    </i>
    <i r="1">
      <x v="113"/>
    </i>
    <i r="1">
      <x v="135"/>
    </i>
    <i r="1">
      <x v="139"/>
    </i>
    <i r="1">
      <x v="145"/>
    </i>
    <i r="1">
      <x v="151"/>
    </i>
    <i r="1">
      <x v="152"/>
    </i>
    <i>
      <x v="2"/>
    </i>
    <i r="1">
      <x v="1"/>
    </i>
    <i r="1">
      <x v="6"/>
    </i>
    <i r="1">
      <x v="12"/>
    </i>
    <i r="1">
      <x v="16"/>
    </i>
    <i r="1">
      <x v="17"/>
    </i>
    <i r="1">
      <x v="20"/>
    </i>
    <i r="1">
      <x v="45"/>
    </i>
    <i r="1">
      <x v="56"/>
    </i>
    <i r="1">
      <x v="64"/>
    </i>
    <i r="1">
      <x v="65"/>
    </i>
    <i r="1">
      <x v="66"/>
    </i>
    <i r="1">
      <x v="67"/>
    </i>
    <i r="1">
      <x v="72"/>
    </i>
    <i r="1">
      <x v="77"/>
    </i>
    <i r="1">
      <x v="88"/>
    </i>
    <i r="1">
      <x v="104"/>
    </i>
    <i r="1">
      <x v="137"/>
    </i>
    <i r="1">
      <x v="140"/>
    </i>
    <i r="1">
      <x v="146"/>
    </i>
    <i r="1">
      <x v="158"/>
    </i>
    <i>
      <x v="3"/>
    </i>
    <i r="1">
      <x v="1"/>
    </i>
    <i r="1">
      <x v="56"/>
    </i>
    <i r="1">
      <x v="66"/>
    </i>
    <i r="1">
      <x v="72"/>
    </i>
    <i r="1">
      <x v="74"/>
    </i>
    <i r="1">
      <x v="104"/>
    </i>
    <i r="1">
      <x v="108"/>
    </i>
    <i>
      <x v="4"/>
    </i>
    <i r="1">
      <x v="4"/>
    </i>
    <i r="1">
      <x v="7"/>
    </i>
    <i r="1">
      <x v="18"/>
    </i>
    <i r="1">
      <x v="29"/>
    </i>
    <i r="1">
      <x v="51"/>
    </i>
    <i r="1">
      <x v="74"/>
    </i>
    <i r="1">
      <x v="79"/>
    </i>
    <i r="1">
      <x v="96"/>
    </i>
    <i r="1">
      <x v="108"/>
    </i>
    <i r="1">
      <x v="111"/>
    </i>
    <i r="1">
      <x v="157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Dinámica1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7:G13" firstHeaderRow="1" firstDataRow="1" firstDataCol="1"/>
  <pivotFields count="11">
    <pivotField axis="axisRow" showAll="0" defaultSubtotal="0">
      <items count="7">
        <item x="0"/>
        <item h="1" x="2"/>
        <item h="1" x="1"/>
        <item h="1" x="3"/>
        <item h="1" x="4"/>
        <item h="1" sd="0" x="5"/>
        <item h="1" m="1" x="6"/>
      </items>
    </pivotField>
    <pivotField showAll="0" defaultSubtotal="0"/>
    <pivotField showAll="0" defaultSubtotal="0"/>
    <pivotField showAll="0"/>
    <pivotField showAll="0" defaultSubtotal="0"/>
    <pivotField axis="axisRow" showAll="0">
      <items count="13">
        <item x="0"/>
        <item m="1" x="10"/>
        <item m="1" x="11"/>
        <item h="1" x="8"/>
        <item m="1" x="9"/>
        <item x="1"/>
        <item x="2"/>
        <item x="3"/>
        <item x="4"/>
        <item x="5"/>
        <item x="6"/>
        <item x="7"/>
        <item t="default"/>
      </items>
    </pivotField>
    <pivotField showAll="0" defaultSubtotal="0"/>
    <pivotField showAll="0" defaultSubtotal="0"/>
    <pivotField showAll="0"/>
    <pivotField showAll="0"/>
    <pivotField showAll="0"/>
  </pivotFields>
  <rowFields count="2">
    <field x="0"/>
    <field x="5"/>
  </rowFields>
  <rowItems count="6">
    <i>
      <x/>
    </i>
    <i r="1">
      <x/>
    </i>
    <i r="1">
      <x v="5"/>
    </i>
    <i r="1">
      <x v="6"/>
    </i>
    <i r="1"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Dinámica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:A13" firstHeaderRow="1" firstDataRow="1" firstDataCol="1"/>
  <pivotFields count="11">
    <pivotField axis="axisRow" showAll="0" defaultSubtotal="0">
      <items count="7">
        <item x="0"/>
        <item h="1" x="2"/>
        <item h="1" x="1"/>
        <item h="1" x="3"/>
        <item h="1"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h="1" x="16"/>
      </items>
    </pivotField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2">
    <field x="0"/>
    <field x="1"/>
  </rowFields>
  <rowItems count="6">
    <i>
      <x/>
    </i>
    <i r="1">
      <x/>
    </i>
    <i r="1">
      <x v="1"/>
    </i>
    <i r="1">
      <x v="9"/>
    </i>
    <i r="1"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Dinámica7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7:C68" firstHeaderRow="1" firstDataRow="1" firstDataCol="1"/>
  <pivotFields count="11">
    <pivotField axis="axisRow" showAll="0" defaultSubtotal="0">
      <items count="7">
        <item x="0"/>
        <item h="1" x="2"/>
        <item h="1" x="1"/>
        <item h="1" x="3"/>
        <item h="1"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x="16"/>
      </items>
    </pivotField>
    <pivotField axis="axisRow" showAll="0" defaultSubtotal="0">
      <items count="52">
        <item sd="0" x="4"/>
        <item sd="0" x="9"/>
        <item sd="0" x="5"/>
        <item sd="0" x="0"/>
        <item sd="0" x="2"/>
        <item sd="0" x="16"/>
        <item sd="0" x="15"/>
        <item sd="0" x="1"/>
        <item sd="0" x="8"/>
        <item x="6"/>
        <item sd="0" x="7"/>
        <item sd="0" x="3"/>
        <item sd="0" x="11"/>
        <item sd="0" x="13"/>
        <item sd="0" x="12"/>
        <item sd="0" x="14"/>
        <item sd="0" x="10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5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31"/>
      </items>
    </pivotField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3">
    <field x="0"/>
    <field x="1"/>
    <field x="2"/>
  </rowFields>
  <rowItems count="61">
    <i>
      <x/>
    </i>
    <i r="1">
      <x/>
    </i>
    <i r="2">
      <x/>
    </i>
    <i r="2">
      <x v="1"/>
    </i>
    <i r="2">
      <x v="2"/>
    </i>
    <i r="2">
      <x v="3"/>
    </i>
    <i r="2">
      <x v="5"/>
    </i>
    <i r="2">
      <x v="7"/>
    </i>
    <i r="2">
      <x v="8"/>
    </i>
    <i r="2">
      <x v="10"/>
    </i>
    <i r="2">
      <x v="12"/>
    </i>
    <i r="2">
      <x v="13"/>
    </i>
    <i r="2">
      <x v="14"/>
    </i>
    <i r="2">
      <x v="15"/>
    </i>
    <i r="2">
      <x v="16"/>
    </i>
    <i r="1">
      <x v="1"/>
    </i>
    <i r="2">
      <x/>
    </i>
    <i r="2">
      <x v="4"/>
    </i>
    <i r="2">
      <x v="6"/>
    </i>
    <i r="2">
      <x v="7"/>
    </i>
    <i r="2">
      <x v="11"/>
    </i>
    <i r="2">
      <x v="15"/>
    </i>
    <i r="2">
      <x v="16"/>
    </i>
    <i r="1">
      <x v="9"/>
    </i>
    <i r="1">
      <x v="10"/>
    </i>
    <i r="1">
      <x v="19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Dinámica8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7:E43" firstHeaderRow="1" firstDataRow="1" firstDataCol="1"/>
  <pivotFields count="11">
    <pivotField axis="axisRow" showAll="0" defaultSubtotal="0">
      <items count="7">
        <item x="0"/>
        <item h="1" x="2"/>
        <item h="1" x="1"/>
        <item h="1" x="3"/>
        <item h="1" x="4"/>
        <item h="1" sd="0" x="5"/>
        <item h="1" m="1" x="6"/>
      </items>
    </pivotField>
    <pivotField showAll="0" defaultSubtotal="0"/>
    <pivotField showAll="0" defaultSubtotal="0"/>
    <pivotField axis="axisRow" showAll="0">
      <items count="37">
        <item x="21"/>
        <item x="18"/>
        <item m="1" x="35"/>
        <item x="17"/>
        <item x="2"/>
        <item x="4"/>
        <item x="31"/>
        <item x="14"/>
        <item x="12"/>
        <item x="24"/>
        <item x="28"/>
        <item x="13"/>
        <item x="3"/>
        <item x="5"/>
        <item x="8"/>
        <item x="27"/>
        <item x="30"/>
        <item x="11"/>
        <item x="6"/>
        <item x="1"/>
        <item x="19"/>
        <item x="16"/>
        <item x="33"/>
        <item x="29"/>
        <item x="25"/>
        <item x="32"/>
        <item x="0"/>
        <item x="23"/>
        <item x="10"/>
        <item x="22"/>
        <item x="20"/>
        <item x="26"/>
        <item x="7"/>
        <item x="15"/>
        <item x="9"/>
        <item x="34"/>
        <item t="default"/>
      </items>
    </pivotField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2">
    <field x="0"/>
    <field x="3"/>
  </rowFields>
  <rowItems count="36">
    <i>
      <x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Dinámica1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7:E13" firstHeaderRow="1" firstDataRow="1" firstDataCol="1"/>
  <pivotFields count="11">
    <pivotField axis="axisRow" showAll="0" defaultSubtotal="0">
      <items count="7">
        <item h="1" x="0"/>
        <item x="2"/>
        <item h="1" x="1"/>
        <item h="1" x="3"/>
        <item h="1" x="4"/>
        <item h="1" sd="0" x="5"/>
        <item h="1" m="1" x="6"/>
      </items>
    </pivotField>
    <pivotField showAll="0" defaultSubtotal="0"/>
    <pivotField showAll="0" defaultSubtotal="0"/>
    <pivotField showAll="0"/>
    <pivotField showAll="0" defaultSubtotal="0"/>
    <pivotField axis="axisRow" showAll="0">
      <items count="13">
        <item x="0"/>
        <item m="1" x="10"/>
        <item m="1" x="11"/>
        <item h="1" x="8"/>
        <item m="1" x="9"/>
        <item x="1"/>
        <item x="2"/>
        <item x="3"/>
        <item x="4"/>
        <item x="5"/>
        <item x="6"/>
        <item x="7"/>
        <item t="default"/>
      </items>
    </pivotField>
    <pivotField showAll="0" defaultSubtotal="0"/>
    <pivotField showAll="0" defaultSubtotal="0"/>
    <pivotField showAll="0"/>
    <pivotField showAll="0"/>
    <pivotField showAll="0"/>
  </pivotFields>
  <rowFields count="2">
    <field x="0"/>
    <field x="5"/>
  </rowFields>
  <rowItems count="6">
    <i>
      <x v="1"/>
    </i>
    <i r="1">
      <x v="8"/>
    </i>
    <i r="1">
      <x v="9"/>
    </i>
    <i r="1">
      <x v="10"/>
    </i>
    <i r="1"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Dinámica9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7:C34" firstHeaderRow="1" firstDataRow="1" firstDataCol="1"/>
  <pivotFields count="11">
    <pivotField axis="axisRow" showAll="0" defaultSubtotal="0">
      <items count="7">
        <item h="1" x="0"/>
        <item x="2"/>
        <item h="1" x="1"/>
        <item h="1" x="3"/>
        <item h="1" x="4"/>
        <item h="1" sd="0" x="5"/>
        <item h="1" m="1" x="6"/>
      </items>
    </pivotField>
    <pivotField showAll="0" defaultSubtotal="0"/>
    <pivotField showAll="0" defaultSubtotal="0"/>
    <pivotField showAll="0"/>
    <pivotField axis="axisRow" showAll="0" defaultSubtotal="0">
      <items count="161">
        <item x="142"/>
        <item x="129"/>
        <item x="60"/>
        <item x="100"/>
        <item x="14"/>
        <item x="92"/>
        <item x="122"/>
        <item x="8"/>
        <item x="49"/>
        <item x="30"/>
        <item x="65"/>
        <item x="19"/>
        <item x="121"/>
        <item x="108"/>
        <item x="62"/>
        <item x="76"/>
        <item x="113"/>
        <item x="116"/>
        <item x="24"/>
        <item x="136"/>
        <item x="115"/>
        <item x="137"/>
        <item x="153"/>
        <item x="152"/>
        <item x="72"/>
        <item x="73"/>
        <item x="17"/>
        <item x="107"/>
        <item x="93"/>
        <item x="13"/>
        <item x="141"/>
        <item x="105"/>
        <item x="38"/>
        <item x="157"/>
        <item x="23"/>
        <item x="34"/>
        <item x="35"/>
        <item x="63"/>
        <item x="27"/>
        <item x="48"/>
        <item x="87"/>
        <item x="154"/>
        <item x="91"/>
        <item x="110"/>
        <item x="16"/>
        <item x="127"/>
        <item x="70"/>
        <item x="71"/>
        <item x="7"/>
        <item x="9"/>
        <item x="96"/>
        <item x="10"/>
        <item x="22"/>
        <item x="94"/>
        <item x="79"/>
        <item x="86"/>
        <item x="120"/>
        <item x="155"/>
        <item x="145"/>
        <item x="156"/>
        <item x="147"/>
        <item x="102"/>
        <item x="84"/>
        <item x="90"/>
        <item x="131"/>
        <item x="125"/>
        <item x="118"/>
        <item x="132"/>
        <item x="61"/>
        <item x="82"/>
        <item x="133"/>
        <item x="138"/>
        <item x="123"/>
        <item x="134"/>
        <item x="140"/>
        <item x="97"/>
        <item x="66"/>
        <item x="130"/>
        <item x="2"/>
        <item x="159"/>
        <item x="101"/>
        <item x="104"/>
        <item x="36"/>
        <item x="37"/>
        <item x="33"/>
        <item x="32"/>
        <item x="45"/>
        <item x="57"/>
        <item x="117"/>
        <item x="149"/>
        <item x="20"/>
        <item x="4"/>
        <item x="3"/>
        <item x="148"/>
        <item x="80"/>
        <item x="139"/>
        <item x="12"/>
        <item x="64"/>
        <item x="50"/>
        <item x="51"/>
        <item x="52"/>
        <item x="85"/>
        <item x="58"/>
        <item x="112"/>
        <item x="119"/>
        <item x="44"/>
        <item x="89"/>
        <item x="41"/>
        <item x="158"/>
        <item x="5"/>
        <item x="21"/>
        <item x="11"/>
        <item x="68"/>
        <item x="135"/>
        <item x="95"/>
        <item x="81"/>
        <item x="78"/>
        <item x="75"/>
        <item x="77"/>
        <item x="25"/>
        <item x="18"/>
        <item x="47"/>
        <item x="43"/>
        <item x="28"/>
        <item x="69"/>
        <item x="46"/>
        <item x="74"/>
        <item x="59"/>
        <item x="109"/>
        <item x="1"/>
        <item x="88"/>
        <item x="6"/>
        <item x="67"/>
        <item x="39"/>
        <item x="42"/>
        <item x="146"/>
        <item x="99"/>
        <item x="124"/>
        <item x="15"/>
        <item x="150"/>
        <item x="128"/>
        <item x="29"/>
        <item x="106"/>
        <item x="98"/>
        <item x="31"/>
        <item x="151"/>
        <item x="114"/>
        <item x="54"/>
        <item x="56"/>
        <item x="53"/>
        <item x="55"/>
        <item x="143"/>
        <item x="144"/>
        <item x="83"/>
        <item x="0"/>
        <item x="103"/>
        <item x="111"/>
        <item x="40"/>
        <item x="126"/>
        <item x="26"/>
        <item x="160"/>
      </items>
    </pivotField>
    <pivotField showAll="0"/>
    <pivotField showAll="0" defaultSubtotal="0"/>
    <pivotField showAll="0" defaultSubtotal="0"/>
    <pivotField showAll="0"/>
    <pivotField showAll="0"/>
    <pivotField showAll="0"/>
  </pivotFields>
  <rowFields count="2">
    <field x="0"/>
    <field x="4"/>
  </rowFields>
  <rowItems count="27">
    <i>
      <x v="1"/>
    </i>
    <i r="1">
      <x/>
    </i>
    <i r="1">
      <x v="19"/>
    </i>
    <i r="1">
      <x v="21"/>
    </i>
    <i r="1">
      <x v="22"/>
    </i>
    <i r="1">
      <x v="23"/>
    </i>
    <i r="1">
      <x v="30"/>
    </i>
    <i r="1">
      <x v="33"/>
    </i>
    <i r="1">
      <x v="41"/>
    </i>
    <i r="1">
      <x v="57"/>
    </i>
    <i r="1">
      <x v="58"/>
    </i>
    <i r="1">
      <x v="59"/>
    </i>
    <i r="1">
      <x v="60"/>
    </i>
    <i r="1">
      <x v="70"/>
    </i>
    <i r="1">
      <x v="71"/>
    </i>
    <i r="1">
      <x v="73"/>
    </i>
    <i r="1">
      <x v="74"/>
    </i>
    <i r="1">
      <x v="89"/>
    </i>
    <i r="1">
      <x v="93"/>
    </i>
    <i r="1">
      <x v="95"/>
    </i>
    <i r="1">
      <x v="113"/>
    </i>
    <i r="1">
      <x v="135"/>
    </i>
    <i r="1">
      <x v="139"/>
    </i>
    <i r="1">
      <x v="145"/>
    </i>
    <i r="1">
      <x v="151"/>
    </i>
    <i r="1">
      <x v="15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Dinámica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:A12" firstHeaderRow="1" firstDataRow="1" firstDataCol="1"/>
  <pivotFields count="11">
    <pivotField axis="axisRow" showAll="0" defaultSubtotal="0">
      <items count="7">
        <item h="1" x="0"/>
        <item x="2"/>
        <item h="1" x="1"/>
        <item h="1" x="3"/>
        <item h="1"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h="1" x="16"/>
      </items>
    </pivotField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2">
    <field x="0"/>
    <field x="1"/>
  </rowFields>
  <rowItems count="5">
    <i>
      <x v="1"/>
    </i>
    <i r="1">
      <x v="2"/>
    </i>
    <i r="1">
      <x v="11"/>
    </i>
    <i r="1">
      <x v="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Dinámica1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7:E13" firstHeaderRow="1" firstDataRow="1" firstDataCol="1"/>
  <pivotFields count="11">
    <pivotField axis="axisRow" showAll="0" defaultSubtotal="0">
      <items count="7">
        <item h="1" x="0"/>
        <item h="1" x="2"/>
        <item x="1"/>
        <item h="1" x="3"/>
        <item h="1" x="4"/>
        <item h="1" sd="0" x="5"/>
        <item h="1" m="1" x="6"/>
      </items>
    </pivotField>
    <pivotField showAll="0" defaultSubtotal="0"/>
    <pivotField showAll="0" defaultSubtotal="0"/>
    <pivotField showAll="0"/>
    <pivotField showAll="0" defaultSubtotal="0"/>
    <pivotField axis="axisRow" showAll="0">
      <items count="13">
        <item x="0"/>
        <item m="1" x="10"/>
        <item m="1" x="11"/>
        <item h="1" x="8"/>
        <item m="1" x="9"/>
        <item x="1"/>
        <item x="2"/>
        <item x="3"/>
        <item x="4"/>
        <item x="5"/>
        <item x="6"/>
        <item x="7"/>
        <item t="default"/>
      </items>
    </pivotField>
    <pivotField showAll="0" defaultSubtotal="0"/>
    <pivotField showAll="0" defaultSubtotal="0"/>
    <pivotField showAll="0"/>
    <pivotField showAll="0"/>
    <pivotField showAll="0"/>
  </pivotFields>
  <rowFields count="2">
    <field x="0"/>
    <field x="5"/>
  </rowFields>
  <rowItems count="6">
    <i>
      <x v="2"/>
    </i>
    <i r="1">
      <x v="8"/>
    </i>
    <i r="1">
      <x v="9"/>
    </i>
    <i r="1">
      <x v="10"/>
    </i>
    <i r="1"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Dinámica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:A15" firstHeaderRow="1" firstDataRow="1" firstDataCol="1"/>
  <pivotFields count="11">
    <pivotField axis="axisRow" showAll="0" defaultSubtotal="0">
      <items count="7">
        <item h="1" x="0"/>
        <item h="1" x="2"/>
        <item x="1"/>
        <item h="1" x="3"/>
        <item h="1"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h="1" x="16"/>
      </items>
    </pivotField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2">
    <field x="0"/>
    <field x="1"/>
  </rowFields>
  <rowItems count="8">
    <i>
      <x v="2"/>
    </i>
    <i r="1">
      <x v="3"/>
    </i>
    <i r="1">
      <x v="4"/>
    </i>
    <i r="1">
      <x v="5"/>
    </i>
    <i r="1">
      <x v="6"/>
    </i>
    <i r="1">
      <x v="7"/>
    </i>
    <i r="1">
      <x v="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Dinámica9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7:C29" firstHeaderRow="1" firstDataRow="1" firstDataCol="1"/>
  <pivotFields count="11">
    <pivotField axis="axisRow" showAll="0" defaultSubtotal="0">
      <items count="7">
        <item h="1" x="0"/>
        <item h="1" x="2"/>
        <item x="1"/>
        <item h="1" x="3"/>
        <item h="1" x="4"/>
        <item h="1" sd="0" x="5"/>
        <item h="1" m="1" x="6"/>
      </items>
    </pivotField>
    <pivotField showAll="0" defaultSubtotal="0"/>
    <pivotField showAll="0" defaultSubtotal="0"/>
    <pivotField showAll="0"/>
    <pivotField axis="axisRow" showAll="0" defaultSubtotal="0">
      <items count="161">
        <item x="142"/>
        <item x="129"/>
        <item x="60"/>
        <item x="100"/>
        <item x="14"/>
        <item x="92"/>
        <item x="122"/>
        <item x="8"/>
        <item x="49"/>
        <item x="30"/>
        <item x="65"/>
        <item x="19"/>
        <item x="121"/>
        <item x="108"/>
        <item x="62"/>
        <item x="76"/>
        <item x="113"/>
        <item x="116"/>
        <item x="24"/>
        <item x="136"/>
        <item x="115"/>
        <item x="137"/>
        <item x="153"/>
        <item x="152"/>
        <item x="72"/>
        <item x="73"/>
        <item x="17"/>
        <item x="107"/>
        <item x="93"/>
        <item x="13"/>
        <item x="141"/>
        <item x="105"/>
        <item x="38"/>
        <item x="157"/>
        <item x="23"/>
        <item x="34"/>
        <item x="35"/>
        <item x="63"/>
        <item x="27"/>
        <item x="48"/>
        <item x="87"/>
        <item x="154"/>
        <item x="91"/>
        <item x="110"/>
        <item x="16"/>
        <item x="127"/>
        <item x="70"/>
        <item x="71"/>
        <item x="7"/>
        <item x="9"/>
        <item x="96"/>
        <item x="10"/>
        <item x="22"/>
        <item x="94"/>
        <item x="79"/>
        <item x="86"/>
        <item x="120"/>
        <item x="155"/>
        <item x="145"/>
        <item x="156"/>
        <item x="147"/>
        <item x="102"/>
        <item x="84"/>
        <item x="90"/>
        <item x="131"/>
        <item x="125"/>
        <item x="118"/>
        <item x="132"/>
        <item x="61"/>
        <item x="82"/>
        <item x="133"/>
        <item x="138"/>
        <item x="123"/>
        <item x="134"/>
        <item x="140"/>
        <item x="97"/>
        <item x="66"/>
        <item x="130"/>
        <item x="2"/>
        <item x="159"/>
        <item x="101"/>
        <item x="104"/>
        <item x="36"/>
        <item x="37"/>
        <item x="33"/>
        <item x="32"/>
        <item x="45"/>
        <item x="57"/>
        <item x="117"/>
        <item x="149"/>
        <item x="20"/>
        <item x="4"/>
        <item x="3"/>
        <item x="148"/>
        <item x="80"/>
        <item x="139"/>
        <item x="12"/>
        <item x="64"/>
        <item x="50"/>
        <item x="51"/>
        <item x="52"/>
        <item x="85"/>
        <item x="58"/>
        <item x="112"/>
        <item x="119"/>
        <item x="44"/>
        <item x="89"/>
        <item x="41"/>
        <item x="158"/>
        <item x="5"/>
        <item x="21"/>
        <item x="11"/>
        <item x="68"/>
        <item x="135"/>
        <item x="95"/>
        <item x="81"/>
        <item x="78"/>
        <item x="75"/>
        <item x="77"/>
        <item x="25"/>
        <item x="18"/>
        <item x="47"/>
        <item x="43"/>
        <item x="28"/>
        <item x="69"/>
        <item x="46"/>
        <item x="74"/>
        <item x="59"/>
        <item x="109"/>
        <item x="1"/>
        <item x="88"/>
        <item x="6"/>
        <item x="67"/>
        <item x="39"/>
        <item x="42"/>
        <item x="146"/>
        <item x="99"/>
        <item x="124"/>
        <item x="15"/>
        <item x="150"/>
        <item x="128"/>
        <item x="29"/>
        <item x="106"/>
        <item x="98"/>
        <item x="31"/>
        <item x="151"/>
        <item x="114"/>
        <item x="54"/>
        <item x="56"/>
        <item x="53"/>
        <item x="55"/>
        <item x="143"/>
        <item x="144"/>
        <item x="83"/>
        <item x="0"/>
        <item x="103"/>
        <item x="111"/>
        <item x="40"/>
        <item x="126"/>
        <item x="26"/>
        <item x="160"/>
      </items>
    </pivotField>
    <pivotField showAll="0"/>
    <pivotField showAll="0" defaultSubtotal="0"/>
    <pivotField showAll="0" defaultSubtotal="0"/>
    <pivotField showAll="0"/>
    <pivotField showAll="0"/>
    <pivotField showAll="0"/>
  </pivotFields>
  <rowFields count="2">
    <field x="0"/>
    <field x="4"/>
  </rowFields>
  <rowItems count="22">
    <i>
      <x v="2"/>
    </i>
    <i r="1">
      <x v="1"/>
    </i>
    <i r="1">
      <x v="6"/>
    </i>
    <i r="1">
      <x v="12"/>
    </i>
    <i r="1">
      <x v="16"/>
    </i>
    <i r="1">
      <x v="17"/>
    </i>
    <i r="1">
      <x v="20"/>
    </i>
    <i r="1">
      <x v="45"/>
    </i>
    <i r="1">
      <x v="56"/>
    </i>
    <i r="1">
      <x v="64"/>
    </i>
    <i r="1">
      <x v="65"/>
    </i>
    <i r="1">
      <x v="66"/>
    </i>
    <i r="1">
      <x v="67"/>
    </i>
    <i r="1">
      <x v="72"/>
    </i>
    <i r="1">
      <x v="77"/>
    </i>
    <i r="1">
      <x v="88"/>
    </i>
    <i r="1">
      <x v="104"/>
    </i>
    <i r="1">
      <x v="137"/>
    </i>
    <i r="1">
      <x v="140"/>
    </i>
    <i r="1">
      <x v="146"/>
    </i>
    <i r="1">
      <x v="15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Dinámica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:A11" firstHeaderRow="1" firstDataRow="1" firstDataCol="1"/>
  <pivotFields count="11">
    <pivotField axis="axisRow" showAll="0" defaultSubtotal="0">
      <items count="7">
        <item h="1" x="0"/>
        <item h="1" x="2"/>
        <item h="1" x="1"/>
        <item x="3"/>
        <item h="1"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h="1" x="16"/>
      </items>
    </pivotField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2">
    <field x="0"/>
    <field x="1"/>
  </rowFields>
  <rowItems count="4">
    <i>
      <x v="3"/>
    </i>
    <i r="1">
      <x v="12"/>
    </i>
    <i r="1">
      <x v="1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Dinámica1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7:C13" firstHeaderRow="1" firstDataRow="1" firstDataCol="1"/>
  <pivotFields count="11">
    <pivotField axis="axisRow" showAll="0" defaultSubtotal="0">
      <items count="7">
        <item h="1" x="0"/>
        <item h="1" x="2"/>
        <item h="1" x="1"/>
        <item x="3"/>
        <item h="1" x="4"/>
        <item h="1" sd="0" x="5"/>
        <item h="1" m="1" x="6"/>
      </items>
    </pivotField>
    <pivotField showAll="0" defaultSubtotal="0"/>
    <pivotField showAll="0" defaultSubtotal="0"/>
    <pivotField showAll="0"/>
    <pivotField showAll="0" defaultSubtotal="0"/>
    <pivotField axis="axisRow" showAll="0">
      <items count="13">
        <item x="0"/>
        <item m="1" x="10"/>
        <item m="1" x="11"/>
        <item h="1" x="8"/>
        <item m="1" x="9"/>
        <item x="1"/>
        <item x="2"/>
        <item x="3"/>
        <item x="4"/>
        <item x="5"/>
        <item x="6"/>
        <item x="7"/>
        <item t="default"/>
      </items>
    </pivotField>
    <pivotField showAll="0" defaultSubtotal="0"/>
    <pivotField showAll="0" defaultSubtotal="0"/>
    <pivotField showAll="0"/>
    <pivotField showAll="0"/>
    <pivotField showAll="0"/>
  </pivotFields>
  <rowFields count="2">
    <field x="0"/>
    <field x="5"/>
  </rowFields>
  <rowItems count="6">
    <i>
      <x v="3"/>
    </i>
    <i r="1">
      <x v="8"/>
    </i>
    <i r="1">
      <x v="9"/>
    </i>
    <i r="1">
      <x v="10"/>
    </i>
    <i r="1"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Dinámica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:A11" firstHeaderRow="1" firstDataRow="1" firstDataCol="1"/>
  <pivotFields count="11">
    <pivotField axis="axisRow" showAll="0" defaultSubtotal="0">
      <items count="7">
        <item h="1" x="0"/>
        <item h="1" x="2"/>
        <item h="1" x="1"/>
        <item h="1" x="3"/>
        <item x="4"/>
        <item h="1" sd="0" x="5"/>
        <item h="1" m="1" x="6"/>
      </items>
    </pivotField>
    <pivotField axis="axisRow" showAll="0" defaultSubtotal="0">
      <items count="20">
        <item x="0"/>
        <item x="1"/>
        <item sd="0" x="10"/>
        <item sd="0" x="5"/>
        <item sd="0" x="4"/>
        <item sd="0" x="6"/>
        <item sd="0" x="8"/>
        <item sd="0" x="9"/>
        <item sd="0" m="1" x="18"/>
        <item sd="0" x="2"/>
        <item sd="0" x="3"/>
        <item sd="0" x="12"/>
        <item sd="0" x="13"/>
        <item sd="0" x="14"/>
        <item sd="0" x="15"/>
        <item sd="0" x="7"/>
        <item sd="0" m="1" x="19"/>
        <item x="17"/>
        <item sd="0" x="11"/>
        <item h="1" x="16"/>
      </items>
    </pivotField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</pivotFields>
  <rowFields count="2">
    <field x="0"/>
    <field x="1"/>
  </rowFields>
  <rowItems count="4">
    <i>
      <x v="4"/>
    </i>
    <i r="1">
      <x v="12"/>
    </i>
    <i r="1">
      <x v="1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Dinámica17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7:C13" firstHeaderRow="1" firstDataRow="1" firstDataCol="1"/>
  <pivotFields count="11">
    <pivotField axis="axisRow" showAll="0" defaultSubtotal="0">
      <items count="7">
        <item h="1" x="0"/>
        <item h="1" x="2"/>
        <item h="1" x="1"/>
        <item h="1" x="3"/>
        <item x="4"/>
        <item h="1" sd="0" x="5"/>
        <item h="1" m="1" x="6"/>
      </items>
    </pivotField>
    <pivotField showAll="0" defaultSubtotal="0"/>
    <pivotField showAll="0" defaultSubtotal="0"/>
    <pivotField showAll="0"/>
    <pivotField showAll="0" defaultSubtotal="0"/>
    <pivotField axis="axisRow" showAll="0">
      <items count="13">
        <item x="0"/>
        <item m="1" x="10"/>
        <item m="1" x="11"/>
        <item h="1" x="8"/>
        <item m="1" x="9"/>
        <item x="1"/>
        <item x="2"/>
        <item x="3"/>
        <item x="4"/>
        <item x="5"/>
        <item x="6"/>
        <item x="7"/>
        <item t="default"/>
      </items>
    </pivotField>
    <pivotField showAll="0" defaultSubtotal="0"/>
    <pivotField showAll="0" defaultSubtotal="0"/>
    <pivotField showAll="0"/>
    <pivotField showAll="0"/>
    <pivotField showAll="0"/>
  </pivotFields>
  <rowFields count="2">
    <field x="0"/>
    <field x="5"/>
  </rowFields>
  <rowItems count="6">
    <i>
      <x v="4"/>
    </i>
    <i r="1">
      <x v="8"/>
    </i>
    <i r="1">
      <x v="9"/>
    </i>
    <i r="1">
      <x v="10"/>
    </i>
    <i r="1"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6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0"/>
  <sheetViews>
    <sheetView zoomScaleNormal="100" zoomScaleSheetLayoutView="100" workbookViewId="0">
      <pane ySplit="1" topLeftCell="A428" activePane="bottomLeft" state="frozen"/>
      <selection activeCell="C421" sqref="C421"/>
      <selection pane="bottomLeft" activeCell="C437" sqref="C437"/>
    </sheetView>
  </sheetViews>
  <sheetFormatPr baseColWidth="10" defaultColWidth="11.453125" defaultRowHeight="12.5" x14ac:dyDescent="0.25"/>
  <cols>
    <col min="1" max="1" width="12.1796875" bestFit="1" customWidth="1"/>
    <col min="2" max="2" width="9.26953125" customWidth="1"/>
    <col min="3" max="3" width="77.81640625" customWidth="1"/>
    <col min="4" max="4" width="21.7265625" style="37" bestFit="1" customWidth="1"/>
    <col min="5" max="5" width="19.81640625" style="18" customWidth="1"/>
    <col min="6" max="6" width="13.26953125" bestFit="1" customWidth="1"/>
    <col min="7" max="7" width="10.1796875" bestFit="1" customWidth="1"/>
    <col min="8" max="8" width="12.26953125" bestFit="1" customWidth="1"/>
    <col min="9" max="9" width="10.1796875" customWidth="1"/>
    <col min="10" max="10" width="16.7265625" bestFit="1" customWidth="1"/>
    <col min="11" max="11" width="11.81640625" bestFit="1" customWidth="1"/>
    <col min="12" max="12" width="12.81640625" bestFit="1" customWidth="1"/>
    <col min="14" max="14" width="11.81640625" bestFit="1" customWidth="1"/>
  </cols>
  <sheetData>
    <row r="1" spans="1:11" ht="13" x14ac:dyDescent="0.3">
      <c r="A1" s="1" t="s">
        <v>0</v>
      </c>
      <c r="B1" s="1" t="s">
        <v>660</v>
      </c>
      <c r="C1" s="1" t="s">
        <v>5</v>
      </c>
      <c r="D1" s="3" t="s">
        <v>7</v>
      </c>
      <c r="E1" s="3" t="s">
        <v>661</v>
      </c>
      <c r="F1" s="1" t="s">
        <v>662</v>
      </c>
      <c r="G1" s="28" t="s">
        <v>663</v>
      </c>
      <c r="H1" s="28" t="s">
        <v>723</v>
      </c>
      <c r="I1" s="28"/>
      <c r="J1" s="28" t="s">
        <v>664</v>
      </c>
    </row>
    <row r="2" spans="1:11" ht="13" x14ac:dyDescent="0.3">
      <c r="A2" s="5" t="s">
        <v>10</v>
      </c>
      <c r="B2" s="5" t="s">
        <v>665</v>
      </c>
      <c r="C2" s="6" t="s">
        <v>659</v>
      </c>
      <c r="D2" s="8">
        <v>468</v>
      </c>
      <c r="E2" s="9">
        <v>620</v>
      </c>
      <c r="F2" s="29">
        <f t="shared" ref="F2:F65" si="0">E2/D2-1</f>
        <v>0.32478632478632474</v>
      </c>
      <c r="G2" s="31">
        <f t="shared" ref="G2:G33" si="1">IFERROR(1-D2/E2,0)</f>
        <v>0.24516129032258061</v>
      </c>
      <c r="H2" s="31" t="e">
        <f>VLOOKUP(C2,'Maestro de Productos'!$G:$H,2,0)</f>
        <v>#N/A</v>
      </c>
      <c r="I2" s="31"/>
      <c r="J2" s="10">
        <f t="shared" ref="J2:J33" si="2">E2*0.99</f>
        <v>613.79999999999995</v>
      </c>
      <c r="K2" s="31">
        <f t="shared" ref="K2:K65" si="3">IFERROR(1-D2/J2,0)</f>
        <v>0.2375366568914955</v>
      </c>
    </row>
    <row r="3" spans="1:11" ht="13" x14ac:dyDescent="0.3">
      <c r="A3" s="5" t="s">
        <v>10</v>
      </c>
      <c r="B3" s="5" t="s">
        <v>665</v>
      </c>
      <c r="C3" s="4" t="s">
        <v>643</v>
      </c>
      <c r="D3" s="8">
        <v>468</v>
      </c>
      <c r="E3" s="9">
        <v>620</v>
      </c>
      <c r="F3" s="29">
        <f t="shared" si="0"/>
        <v>0.32478632478632474</v>
      </c>
      <c r="G3" s="31">
        <f t="shared" si="1"/>
        <v>0.24516129032258061</v>
      </c>
      <c r="H3" s="31" t="str">
        <f>VLOOKUP(C3,'Maestro de Productos'!$G:$H,2,0)</f>
        <v>6x750</v>
      </c>
      <c r="I3" s="31"/>
      <c r="J3" s="10">
        <f t="shared" si="2"/>
        <v>613.79999999999995</v>
      </c>
      <c r="K3" s="31">
        <f t="shared" si="3"/>
        <v>0.2375366568914955</v>
      </c>
    </row>
    <row r="4" spans="1:11" ht="13" x14ac:dyDescent="0.3">
      <c r="A4" s="5" t="s">
        <v>10</v>
      </c>
      <c r="B4" s="5" t="s">
        <v>665</v>
      </c>
      <c r="C4" s="6" t="s">
        <v>18</v>
      </c>
      <c r="D4" s="8">
        <v>481</v>
      </c>
      <c r="E4" s="9">
        <v>620</v>
      </c>
      <c r="F4" s="29">
        <f t="shared" si="0"/>
        <v>0.28898128898128905</v>
      </c>
      <c r="G4" s="31">
        <f t="shared" si="1"/>
        <v>0.22419354838709682</v>
      </c>
      <c r="H4" s="31" t="str">
        <f>VLOOKUP(C4,'Maestro de Productos'!$G:$H,2,0)</f>
        <v>6x750</v>
      </c>
      <c r="I4" s="31"/>
      <c r="J4" s="10">
        <f t="shared" si="2"/>
        <v>613.79999999999995</v>
      </c>
      <c r="K4" s="31">
        <f t="shared" si="3"/>
        <v>0.21635711958292603</v>
      </c>
    </row>
    <row r="5" spans="1:11" ht="13" x14ac:dyDescent="0.3">
      <c r="A5" s="5" t="s">
        <v>10</v>
      </c>
      <c r="B5" s="5" t="s">
        <v>666</v>
      </c>
      <c r="C5" s="4" t="s">
        <v>644</v>
      </c>
      <c r="D5" s="8">
        <v>1062</v>
      </c>
      <c r="E5" s="9">
        <v>1390</v>
      </c>
      <c r="F5" s="29">
        <f t="shared" si="0"/>
        <v>0.30885122410546129</v>
      </c>
      <c r="G5" s="31">
        <f t="shared" si="1"/>
        <v>0.23597122302158269</v>
      </c>
      <c r="H5" s="31" t="str">
        <f>VLOOKUP(C5,'Maestro de Productos'!$G:$H,2,0)</f>
        <v>6x750</v>
      </c>
      <c r="I5" s="31"/>
      <c r="J5" s="10">
        <f t="shared" si="2"/>
        <v>1376.1</v>
      </c>
      <c r="K5" s="31">
        <f t="shared" si="3"/>
        <v>0.22825376062786129</v>
      </c>
    </row>
    <row r="6" spans="1:11" ht="13" x14ac:dyDescent="0.3">
      <c r="A6" s="5" t="s">
        <v>10</v>
      </c>
      <c r="B6" s="5" t="s">
        <v>666</v>
      </c>
      <c r="C6" s="4" t="s">
        <v>645</v>
      </c>
      <c r="D6" s="8">
        <v>734</v>
      </c>
      <c r="E6" s="9">
        <v>990</v>
      </c>
      <c r="F6" s="29">
        <f t="shared" si="0"/>
        <v>0.3487738419618529</v>
      </c>
      <c r="G6" s="31">
        <f t="shared" si="1"/>
        <v>0.25858585858585859</v>
      </c>
      <c r="H6" s="31" t="str">
        <f>VLOOKUP(C6,'Maestro de Productos'!$G:$H,2,0)</f>
        <v>6x750</v>
      </c>
      <c r="I6" s="31"/>
      <c r="J6" s="10">
        <f t="shared" si="2"/>
        <v>980.1</v>
      </c>
      <c r="K6" s="31">
        <f t="shared" si="3"/>
        <v>0.2510968268544026</v>
      </c>
    </row>
    <row r="7" spans="1:11" ht="13" x14ac:dyDescent="0.3">
      <c r="A7" s="5" t="s">
        <v>10</v>
      </c>
      <c r="B7" s="5" t="s">
        <v>665</v>
      </c>
      <c r="C7" s="6" t="s">
        <v>646</v>
      </c>
      <c r="D7" s="8">
        <v>839</v>
      </c>
      <c r="E7" s="9">
        <v>1090</v>
      </c>
      <c r="F7" s="29">
        <f t="shared" si="0"/>
        <v>0.29916567342073908</v>
      </c>
      <c r="G7" s="31">
        <f t="shared" si="1"/>
        <v>0.23027522935779821</v>
      </c>
      <c r="H7" s="31" t="str">
        <f>VLOOKUP(C7,'Maestro de Productos'!$G:$H,2,0)</f>
        <v>6x750</v>
      </c>
      <c r="I7" s="31"/>
      <c r="J7" s="10">
        <f t="shared" si="2"/>
        <v>1079.0999999999999</v>
      </c>
      <c r="K7" s="31">
        <f t="shared" si="3"/>
        <v>0.22250023167454358</v>
      </c>
    </row>
    <row r="8" spans="1:11" ht="13" x14ac:dyDescent="0.3">
      <c r="A8" s="5" t="s">
        <v>10</v>
      </c>
      <c r="B8" s="5" t="s">
        <v>665</v>
      </c>
      <c r="C8" s="6" t="s">
        <v>647</v>
      </c>
      <c r="D8" s="8">
        <v>1225</v>
      </c>
      <c r="E8" s="9">
        <v>1590</v>
      </c>
      <c r="F8" s="29">
        <f t="shared" si="0"/>
        <v>0.29795918367346941</v>
      </c>
      <c r="G8" s="31">
        <f t="shared" si="1"/>
        <v>0.22955974842767291</v>
      </c>
      <c r="H8" s="31" t="str">
        <f>VLOOKUP(C8,'Maestro de Productos'!$G:$H,2,0)</f>
        <v>6x750</v>
      </c>
      <c r="I8" s="31"/>
      <c r="J8" s="10">
        <f t="shared" si="2"/>
        <v>1574.1</v>
      </c>
      <c r="K8" s="31">
        <f t="shared" si="3"/>
        <v>0.22177752366431602</v>
      </c>
    </row>
    <row r="9" spans="1:11" ht="13" x14ac:dyDescent="0.3">
      <c r="A9" s="5" t="s">
        <v>10</v>
      </c>
      <c r="B9" s="5" t="s">
        <v>665</v>
      </c>
      <c r="C9" s="6" t="s">
        <v>648</v>
      </c>
      <c r="D9" s="8">
        <v>1225</v>
      </c>
      <c r="E9" s="9">
        <v>1590</v>
      </c>
      <c r="F9" s="29">
        <f t="shared" si="0"/>
        <v>0.29795918367346941</v>
      </c>
      <c r="G9" s="31">
        <f t="shared" si="1"/>
        <v>0.22955974842767291</v>
      </c>
      <c r="H9" s="31" t="str">
        <f>VLOOKUP(C9,'Maestro de Productos'!$G:$H,2,0)</f>
        <v>6x750</v>
      </c>
      <c r="I9" s="31"/>
      <c r="J9" s="10">
        <f t="shared" si="2"/>
        <v>1574.1</v>
      </c>
      <c r="K9" s="31">
        <f t="shared" si="3"/>
        <v>0.22177752366431602</v>
      </c>
    </row>
    <row r="10" spans="1:11" ht="13" x14ac:dyDescent="0.3">
      <c r="A10" s="5" t="s">
        <v>10</v>
      </c>
      <c r="B10" s="5" t="s">
        <v>665</v>
      </c>
      <c r="C10" s="6" t="s">
        <v>649</v>
      </c>
      <c r="D10" s="8">
        <v>1470</v>
      </c>
      <c r="E10" s="9">
        <v>1890</v>
      </c>
      <c r="F10" s="29">
        <f t="shared" si="0"/>
        <v>0.28571428571428581</v>
      </c>
      <c r="G10" s="31">
        <f t="shared" si="1"/>
        <v>0.22222222222222221</v>
      </c>
      <c r="H10" s="31" t="str">
        <f>VLOOKUP(C10,'Maestro de Productos'!$G:$H,2,0)</f>
        <v>6x750</v>
      </c>
      <c r="I10" s="31"/>
      <c r="J10" s="10">
        <f t="shared" si="2"/>
        <v>1871.1</v>
      </c>
      <c r="K10" s="31">
        <f t="shared" si="3"/>
        <v>0.21436588103254761</v>
      </c>
    </row>
    <row r="11" spans="1:11" ht="13" x14ac:dyDescent="0.3">
      <c r="A11" s="5" t="s">
        <v>10</v>
      </c>
      <c r="B11" s="5" t="s">
        <v>665</v>
      </c>
      <c r="C11" s="6" t="s">
        <v>27</v>
      </c>
      <c r="D11" s="8">
        <v>385.12</v>
      </c>
      <c r="E11" s="9">
        <v>490</v>
      </c>
      <c r="F11" s="29">
        <f>E11/D11-1</f>
        <v>0.27233070211882016</v>
      </c>
      <c r="G11" s="31">
        <f t="shared" si="1"/>
        <v>0.2140408163265306</v>
      </c>
      <c r="H11" s="31" t="str">
        <f>VLOOKUP(C11,'Maestro de Productos'!$G:$H,2,0)</f>
        <v>6x750</v>
      </c>
      <c r="I11" s="31"/>
      <c r="J11" s="10">
        <f t="shared" si="2"/>
        <v>485.1</v>
      </c>
      <c r="K11" s="31">
        <f t="shared" si="3"/>
        <v>0.20610183467326326</v>
      </c>
    </row>
    <row r="12" spans="1:11" ht="13" x14ac:dyDescent="0.3">
      <c r="A12" s="5" t="s">
        <v>10</v>
      </c>
      <c r="B12" s="5" t="s">
        <v>665</v>
      </c>
      <c r="C12" s="4" t="s">
        <v>29</v>
      </c>
      <c r="D12" s="8">
        <v>385.12</v>
      </c>
      <c r="E12" s="9">
        <v>490</v>
      </c>
      <c r="F12" s="29">
        <f>E12/D12-1</f>
        <v>0.27233070211882016</v>
      </c>
      <c r="G12" s="31">
        <f t="shared" si="1"/>
        <v>0.2140408163265306</v>
      </c>
      <c r="H12" s="31" t="str">
        <f>VLOOKUP(C12,'Maestro de Productos'!$G:$H,2,0)</f>
        <v>6x750</v>
      </c>
      <c r="I12" s="31"/>
      <c r="J12" s="10">
        <f t="shared" si="2"/>
        <v>485.1</v>
      </c>
      <c r="K12" s="31">
        <f t="shared" si="3"/>
        <v>0.20610183467326326</v>
      </c>
    </row>
    <row r="13" spans="1:11" ht="13" x14ac:dyDescent="0.3">
      <c r="A13" s="5" t="s">
        <v>10</v>
      </c>
      <c r="B13" s="5" t="s">
        <v>665</v>
      </c>
      <c r="C13" s="6" t="s">
        <v>30</v>
      </c>
      <c r="D13" s="8">
        <v>385.12</v>
      </c>
      <c r="E13" s="9">
        <v>490</v>
      </c>
      <c r="F13" s="29">
        <f t="shared" si="0"/>
        <v>0.27233070211882016</v>
      </c>
      <c r="G13" s="31">
        <f t="shared" si="1"/>
        <v>0.2140408163265306</v>
      </c>
      <c r="H13" s="31" t="e">
        <f>VLOOKUP(C13,'Maestro de Productos'!$G:$H,2,0)</f>
        <v>#N/A</v>
      </c>
      <c r="I13" s="31"/>
      <c r="J13" s="10">
        <f t="shared" si="2"/>
        <v>485.1</v>
      </c>
      <c r="K13" s="31">
        <f t="shared" si="3"/>
        <v>0.20610183467326326</v>
      </c>
    </row>
    <row r="14" spans="1:11" ht="13" x14ac:dyDescent="0.3">
      <c r="A14" s="5" t="s">
        <v>10</v>
      </c>
      <c r="B14" s="5" t="s">
        <v>665</v>
      </c>
      <c r="C14" s="6" t="s">
        <v>31</v>
      </c>
      <c r="D14" s="8">
        <v>385.12</v>
      </c>
      <c r="E14" s="9">
        <v>490</v>
      </c>
      <c r="F14" s="29">
        <f t="shared" si="0"/>
        <v>0.27233070211882016</v>
      </c>
      <c r="G14" s="31">
        <f t="shared" si="1"/>
        <v>0.2140408163265306</v>
      </c>
      <c r="H14" s="31" t="str">
        <f>VLOOKUP(C14,'Maestro de Productos'!$G:$H,2,0)</f>
        <v>6x750</v>
      </c>
      <c r="I14" s="31"/>
      <c r="J14" s="10">
        <f t="shared" si="2"/>
        <v>485.1</v>
      </c>
      <c r="K14" s="31">
        <f t="shared" si="3"/>
        <v>0.20610183467326326</v>
      </c>
    </row>
    <row r="15" spans="1:11" ht="13" x14ac:dyDescent="0.3">
      <c r="A15" s="5" t="s">
        <v>10</v>
      </c>
      <c r="B15" s="5" t="s">
        <v>665</v>
      </c>
      <c r="C15" s="6" t="s">
        <v>33</v>
      </c>
      <c r="D15" s="8">
        <v>846</v>
      </c>
      <c r="E15" s="9">
        <v>1090</v>
      </c>
      <c r="F15" s="29">
        <f t="shared" si="0"/>
        <v>0.28841607565011818</v>
      </c>
      <c r="G15" s="31">
        <f t="shared" si="1"/>
        <v>0.22385321100917432</v>
      </c>
      <c r="H15" s="31" t="str">
        <f>VLOOKUP(C15,'Maestro de Productos'!$G:$H,2,0)</f>
        <v>6x750</v>
      </c>
      <c r="I15" s="31"/>
      <c r="J15" s="10">
        <f t="shared" si="2"/>
        <v>1079.0999999999999</v>
      </c>
      <c r="K15" s="31">
        <f t="shared" si="3"/>
        <v>0.21601334445371134</v>
      </c>
    </row>
    <row r="16" spans="1:11" ht="13" x14ac:dyDescent="0.3">
      <c r="A16" s="5" t="s">
        <v>10</v>
      </c>
      <c r="B16" s="5" t="s">
        <v>665</v>
      </c>
      <c r="C16" s="6" t="s">
        <v>34</v>
      </c>
      <c r="D16" s="8">
        <v>635</v>
      </c>
      <c r="E16" s="9">
        <v>920</v>
      </c>
      <c r="F16" s="29">
        <f t="shared" si="0"/>
        <v>0.44881889763779537</v>
      </c>
      <c r="G16" s="31">
        <f t="shared" si="1"/>
        <v>0.30978260869565222</v>
      </c>
      <c r="H16" s="31" t="str">
        <f>VLOOKUP(C16,'Maestro de Productos'!$G:$H,2,0)</f>
        <v>6x750</v>
      </c>
      <c r="I16" s="31"/>
      <c r="J16" s="10">
        <f t="shared" si="2"/>
        <v>910.8</v>
      </c>
      <c r="K16" s="31">
        <f t="shared" si="3"/>
        <v>0.30281071585419406</v>
      </c>
    </row>
    <row r="17" spans="1:11" ht="13" x14ac:dyDescent="0.3">
      <c r="A17" s="5" t="s">
        <v>10</v>
      </c>
      <c r="B17" s="5" t="s">
        <v>665</v>
      </c>
      <c r="C17" s="6" t="s">
        <v>35</v>
      </c>
      <c r="D17" s="8">
        <v>705</v>
      </c>
      <c r="E17" s="9">
        <v>920</v>
      </c>
      <c r="F17" s="29">
        <f t="shared" si="0"/>
        <v>0.30496453900709231</v>
      </c>
      <c r="G17" s="31">
        <f t="shared" si="1"/>
        <v>0.23369565217391308</v>
      </c>
      <c r="H17" s="31" t="e">
        <f>VLOOKUP(C17,'Maestro de Productos'!$G:$H,2,0)</f>
        <v>#N/A</v>
      </c>
      <c r="I17" s="31"/>
      <c r="J17" s="10">
        <f t="shared" si="2"/>
        <v>910.8</v>
      </c>
      <c r="K17" s="31">
        <f t="shared" si="3"/>
        <v>0.22595520421607374</v>
      </c>
    </row>
    <row r="18" spans="1:11" ht="13" x14ac:dyDescent="0.3">
      <c r="A18" s="5" t="s">
        <v>10</v>
      </c>
      <c r="B18" s="5" t="s">
        <v>665</v>
      </c>
      <c r="C18" s="6" t="s">
        <v>36</v>
      </c>
      <c r="D18" s="8">
        <v>705</v>
      </c>
      <c r="E18" s="9">
        <v>920</v>
      </c>
      <c r="F18" s="29">
        <f t="shared" si="0"/>
        <v>0.30496453900709231</v>
      </c>
      <c r="G18" s="31">
        <f t="shared" si="1"/>
        <v>0.23369565217391308</v>
      </c>
      <c r="H18" s="31" t="str">
        <f>VLOOKUP(C18,'Maestro de Productos'!$G:$H,2,0)</f>
        <v>6x750</v>
      </c>
      <c r="I18" s="31"/>
      <c r="J18" s="10">
        <f t="shared" si="2"/>
        <v>910.8</v>
      </c>
      <c r="K18" s="31">
        <f t="shared" si="3"/>
        <v>0.22595520421607374</v>
      </c>
    </row>
    <row r="19" spans="1:11" ht="13" x14ac:dyDescent="0.3">
      <c r="A19" s="5" t="s">
        <v>10</v>
      </c>
      <c r="B19" s="5" t="s">
        <v>665</v>
      </c>
      <c r="C19" s="6" t="s">
        <v>38</v>
      </c>
      <c r="D19" s="8">
        <v>705</v>
      </c>
      <c r="E19" s="9">
        <v>920</v>
      </c>
      <c r="F19" s="29">
        <f t="shared" si="0"/>
        <v>0.30496453900709231</v>
      </c>
      <c r="G19" s="31">
        <f t="shared" si="1"/>
        <v>0.23369565217391308</v>
      </c>
      <c r="H19" s="31" t="str">
        <f>VLOOKUP(C19,'Maestro de Productos'!$G:$H,2,0)</f>
        <v>6x750</v>
      </c>
      <c r="I19" s="31"/>
      <c r="J19" s="10">
        <f t="shared" si="2"/>
        <v>910.8</v>
      </c>
      <c r="K19" s="31">
        <f t="shared" si="3"/>
        <v>0.22595520421607374</v>
      </c>
    </row>
    <row r="20" spans="1:11" ht="13" x14ac:dyDescent="0.3">
      <c r="A20" s="5" t="s">
        <v>10</v>
      </c>
      <c r="B20" s="5" t="s">
        <v>665</v>
      </c>
      <c r="C20" s="4" t="s">
        <v>40</v>
      </c>
      <c r="D20" s="8">
        <v>1180</v>
      </c>
      <c r="E20" s="9">
        <v>1550</v>
      </c>
      <c r="F20" s="29">
        <f t="shared" si="0"/>
        <v>0.31355932203389836</v>
      </c>
      <c r="G20" s="31">
        <f t="shared" si="1"/>
        <v>0.23870967741935489</v>
      </c>
      <c r="H20" s="31" t="str">
        <f>VLOOKUP(C20,'Maestro de Productos'!$G:$H,2,0)</f>
        <v>6x750</v>
      </c>
      <c r="I20" s="31"/>
      <c r="J20" s="10">
        <f t="shared" si="2"/>
        <v>1534.5</v>
      </c>
      <c r="K20" s="31">
        <f t="shared" si="3"/>
        <v>0.23101987618116648</v>
      </c>
    </row>
    <row r="21" spans="1:11" ht="13" x14ac:dyDescent="0.3">
      <c r="A21" s="5" t="s">
        <v>10</v>
      </c>
      <c r="B21" s="5" t="s">
        <v>665</v>
      </c>
      <c r="C21" s="4" t="s">
        <v>41</v>
      </c>
      <c r="D21" s="8">
        <v>1180</v>
      </c>
      <c r="E21" s="9">
        <v>1550</v>
      </c>
      <c r="F21" s="29">
        <f t="shared" si="0"/>
        <v>0.31355932203389836</v>
      </c>
      <c r="G21" s="31">
        <f t="shared" si="1"/>
        <v>0.23870967741935489</v>
      </c>
      <c r="H21" s="31" t="str">
        <f>VLOOKUP(C21,'Maestro de Productos'!$G:$H,2,0)</f>
        <v>6x750</v>
      </c>
      <c r="I21" s="31"/>
      <c r="J21" s="10">
        <f t="shared" si="2"/>
        <v>1534.5</v>
      </c>
      <c r="K21" s="31">
        <f t="shared" si="3"/>
        <v>0.23101987618116648</v>
      </c>
    </row>
    <row r="22" spans="1:11" ht="13" x14ac:dyDescent="0.3">
      <c r="A22" s="5" t="s">
        <v>10</v>
      </c>
      <c r="B22" s="5" t="s">
        <v>665</v>
      </c>
      <c r="C22" s="6" t="s">
        <v>44</v>
      </c>
      <c r="D22" s="8">
        <v>551</v>
      </c>
      <c r="E22" s="9">
        <v>790</v>
      </c>
      <c r="F22" s="29">
        <f t="shared" si="0"/>
        <v>0.43375680580762244</v>
      </c>
      <c r="G22" s="31">
        <f t="shared" si="1"/>
        <v>0.3025316455696202</v>
      </c>
      <c r="H22" s="31" t="str">
        <f>VLOOKUP(C22,'Maestro de Productos'!$G:$H,2,0)</f>
        <v>6x750</v>
      </c>
      <c r="I22" s="31"/>
      <c r="J22" s="10">
        <f t="shared" si="2"/>
        <v>782.1</v>
      </c>
      <c r="K22" s="31">
        <f t="shared" si="3"/>
        <v>0.2954865106763841</v>
      </c>
    </row>
    <row r="23" spans="1:11" ht="13" x14ac:dyDescent="0.3">
      <c r="A23" s="5" t="s">
        <v>10</v>
      </c>
      <c r="B23" s="5" t="s">
        <v>665</v>
      </c>
      <c r="C23" s="6" t="s">
        <v>45</v>
      </c>
      <c r="D23" s="8">
        <v>551</v>
      </c>
      <c r="E23" s="9">
        <v>790</v>
      </c>
      <c r="F23" s="29">
        <f t="shared" si="0"/>
        <v>0.43375680580762244</v>
      </c>
      <c r="G23" s="31">
        <f t="shared" si="1"/>
        <v>0.3025316455696202</v>
      </c>
      <c r="H23" s="31" t="str">
        <f>VLOOKUP(C23,'Maestro de Productos'!$G:$H,2,0)</f>
        <v>6x750</v>
      </c>
      <c r="I23" s="31"/>
      <c r="J23" s="10">
        <f t="shared" si="2"/>
        <v>782.1</v>
      </c>
      <c r="K23" s="31">
        <f t="shared" si="3"/>
        <v>0.2954865106763841</v>
      </c>
    </row>
    <row r="24" spans="1:11" ht="13" x14ac:dyDescent="0.3">
      <c r="A24" s="5" t="s">
        <v>10</v>
      </c>
      <c r="B24" s="5" t="s">
        <v>665</v>
      </c>
      <c r="C24" s="6" t="s">
        <v>46</v>
      </c>
      <c r="D24" s="8">
        <v>551</v>
      </c>
      <c r="E24" s="9">
        <v>790</v>
      </c>
      <c r="F24" s="29">
        <f t="shared" si="0"/>
        <v>0.43375680580762244</v>
      </c>
      <c r="G24" s="31">
        <f t="shared" si="1"/>
        <v>0.3025316455696202</v>
      </c>
      <c r="H24" s="31" t="str">
        <f>VLOOKUP(C24,'Maestro de Productos'!$G:$H,2,0)</f>
        <v>6x750</v>
      </c>
      <c r="I24" s="31"/>
      <c r="J24" s="10">
        <f t="shared" si="2"/>
        <v>782.1</v>
      </c>
      <c r="K24" s="31">
        <f t="shared" si="3"/>
        <v>0.2954865106763841</v>
      </c>
    </row>
    <row r="25" spans="1:11" ht="13" x14ac:dyDescent="0.3">
      <c r="A25" s="5" t="s">
        <v>10</v>
      </c>
      <c r="B25" s="5" t="s">
        <v>665</v>
      </c>
      <c r="C25" s="6" t="s">
        <v>48</v>
      </c>
      <c r="D25" s="8">
        <v>659</v>
      </c>
      <c r="E25" s="9">
        <v>920</v>
      </c>
      <c r="F25" s="29">
        <f t="shared" si="0"/>
        <v>0.39605462822458271</v>
      </c>
      <c r="G25" s="31">
        <f t="shared" si="1"/>
        <v>0.28369565217391302</v>
      </c>
      <c r="H25" s="31" t="str">
        <f>VLOOKUP(C25,'Maestro de Productos'!$G:$H,2,0)</f>
        <v>6x750</v>
      </c>
      <c r="I25" s="31"/>
      <c r="J25" s="10">
        <f t="shared" si="2"/>
        <v>910.8</v>
      </c>
      <c r="K25" s="31">
        <f t="shared" si="3"/>
        <v>0.27646025472112423</v>
      </c>
    </row>
    <row r="26" spans="1:11" ht="13" x14ac:dyDescent="0.3">
      <c r="A26" s="5" t="s">
        <v>10</v>
      </c>
      <c r="B26" s="5" t="s">
        <v>665</v>
      </c>
      <c r="C26" s="6" t="s">
        <v>49</v>
      </c>
      <c r="D26" s="8">
        <v>659</v>
      </c>
      <c r="E26" s="9">
        <v>920</v>
      </c>
      <c r="F26" s="29">
        <f t="shared" si="0"/>
        <v>0.39605462822458271</v>
      </c>
      <c r="G26" s="31">
        <f t="shared" si="1"/>
        <v>0.28369565217391302</v>
      </c>
      <c r="H26" s="31" t="e">
        <f>VLOOKUP(C26,'Maestro de Productos'!$G:$H,2,0)</f>
        <v>#N/A</v>
      </c>
      <c r="I26" s="31"/>
      <c r="J26" s="10">
        <f t="shared" si="2"/>
        <v>910.8</v>
      </c>
      <c r="K26" s="31">
        <f t="shared" si="3"/>
        <v>0.27646025472112423</v>
      </c>
    </row>
    <row r="27" spans="1:11" ht="13" x14ac:dyDescent="0.3">
      <c r="A27" s="5" t="s">
        <v>10</v>
      </c>
      <c r="B27" s="5" t="s">
        <v>665</v>
      </c>
      <c r="C27" s="6" t="s">
        <v>50</v>
      </c>
      <c r="D27" s="8">
        <v>659</v>
      </c>
      <c r="E27" s="9">
        <v>920</v>
      </c>
      <c r="F27" s="29">
        <f t="shared" si="0"/>
        <v>0.39605462822458271</v>
      </c>
      <c r="G27" s="31">
        <f t="shared" si="1"/>
        <v>0.28369565217391302</v>
      </c>
      <c r="H27" s="31" t="e">
        <f>VLOOKUP(C27,'Maestro de Productos'!$G:$H,2,0)</f>
        <v>#N/A</v>
      </c>
      <c r="I27" s="31"/>
      <c r="J27" s="10">
        <f t="shared" si="2"/>
        <v>910.8</v>
      </c>
      <c r="K27" s="31">
        <f t="shared" si="3"/>
        <v>0.27646025472112423</v>
      </c>
    </row>
    <row r="28" spans="1:11" ht="13" x14ac:dyDescent="0.3">
      <c r="A28" s="5" t="s">
        <v>10</v>
      </c>
      <c r="B28" s="5" t="s">
        <v>665</v>
      </c>
      <c r="C28" s="6" t="s">
        <v>51</v>
      </c>
      <c r="D28" s="8">
        <v>659</v>
      </c>
      <c r="E28" s="9">
        <v>920</v>
      </c>
      <c r="F28" s="29">
        <f t="shared" si="0"/>
        <v>0.39605462822458271</v>
      </c>
      <c r="G28" s="31">
        <f t="shared" si="1"/>
        <v>0.28369565217391302</v>
      </c>
      <c r="H28" s="31" t="str">
        <f>VLOOKUP(C28,'Maestro de Productos'!$G:$H,2,0)</f>
        <v>6x750</v>
      </c>
      <c r="I28" s="31"/>
      <c r="J28" s="10">
        <f t="shared" si="2"/>
        <v>910.8</v>
      </c>
      <c r="K28" s="31">
        <f t="shared" si="3"/>
        <v>0.27646025472112423</v>
      </c>
    </row>
    <row r="29" spans="1:11" ht="13" x14ac:dyDescent="0.3">
      <c r="A29" s="5" t="s">
        <v>10</v>
      </c>
      <c r="B29" s="5" t="s">
        <v>665</v>
      </c>
      <c r="C29" s="4" t="s">
        <v>53</v>
      </c>
      <c r="D29" s="8">
        <v>765</v>
      </c>
      <c r="E29" s="9">
        <v>1190</v>
      </c>
      <c r="F29" s="29">
        <f t="shared" si="0"/>
        <v>0.55555555555555558</v>
      </c>
      <c r="G29" s="31">
        <f t="shared" si="1"/>
        <v>0.3571428571428571</v>
      </c>
      <c r="H29" s="31" t="str">
        <f>VLOOKUP(C29,'Maestro de Productos'!$G:$H,2,0)</f>
        <v>6x750</v>
      </c>
      <c r="I29" s="31"/>
      <c r="J29" s="10">
        <f t="shared" si="2"/>
        <v>1178.0999999999999</v>
      </c>
      <c r="K29" s="31">
        <f t="shared" si="3"/>
        <v>0.35064935064935054</v>
      </c>
    </row>
    <row r="30" spans="1:11" ht="13" x14ac:dyDescent="0.3">
      <c r="A30" s="5" t="s">
        <v>10</v>
      </c>
      <c r="B30" s="5" t="s">
        <v>665</v>
      </c>
      <c r="C30" s="6" t="s">
        <v>54</v>
      </c>
      <c r="D30" s="8">
        <v>758</v>
      </c>
      <c r="E30" s="9">
        <v>1090</v>
      </c>
      <c r="F30" s="29">
        <f t="shared" si="0"/>
        <v>0.43799472295514508</v>
      </c>
      <c r="G30" s="31">
        <f t="shared" si="1"/>
        <v>0.30458715596330277</v>
      </c>
      <c r="H30" s="31" t="str">
        <f>VLOOKUP(C30,'Maestro de Productos'!$G:$H,2,0)</f>
        <v>6x750</v>
      </c>
      <c r="I30" s="31"/>
      <c r="J30" s="10">
        <f t="shared" si="2"/>
        <v>1079.0999999999999</v>
      </c>
      <c r="K30" s="31">
        <f t="shared" si="3"/>
        <v>0.29756278380131584</v>
      </c>
    </row>
    <row r="31" spans="1:11" ht="13" x14ac:dyDescent="0.3">
      <c r="A31" s="5" t="s">
        <v>10</v>
      </c>
      <c r="B31" s="5" t="s">
        <v>665</v>
      </c>
      <c r="C31" s="6" t="s">
        <v>55</v>
      </c>
      <c r="D31" s="8">
        <v>1392</v>
      </c>
      <c r="E31" s="9">
        <v>1890</v>
      </c>
      <c r="F31" s="29">
        <f t="shared" si="0"/>
        <v>0.35775862068965525</v>
      </c>
      <c r="G31" s="31">
        <f t="shared" si="1"/>
        <v>0.26349206349206344</v>
      </c>
      <c r="H31" s="31" t="str">
        <f>VLOOKUP(C31,'Maestro de Productos'!$G:$H,2,0)</f>
        <v>6x750</v>
      </c>
      <c r="I31" s="31"/>
      <c r="J31" s="10">
        <f t="shared" si="2"/>
        <v>1871.1</v>
      </c>
      <c r="K31" s="31">
        <f t="shared" si="3"/>
        <v>0.25605258938592268</v>
      </c>
    </row>
    <row r="32" spans="1:11" ht="13" x14ac:dyDescent="0.3">
      <c r="A32" s="5" t="s">
        <v>10</v>
      </c>
      <c r="B32" s="5" t="s">
        <v>665</v>
      </c>
      <c r="C32" s="4" t="s">
        <v>56</v>
      </c>
      <c r="D32" s="8">
        <v>1461</v>
      </c>
      <c r="E32" s="9">
        <v>1990</v>
      </c>
      <c r="F32" s="29">
        <f t="shared" si="0"/>
        <v>0.36208076659822042</v>
      </c>
      <c r="G32" s="31">
        <f t="shared" si="1"/>
        <v>0.26582914572864325</v>
      </c>
      <c r="H32" s="31" t="str">
        <f>VLOOKUP(C32,'Maestro de Productos'!$G:$H,2,0)</f>
        <v>6x750</v>
      </c>
      <c r="I32" s="31"/>
      <c r="J32" s="10">
        <f t="shared" si="2"/>
        <v>1970.1</v>
      </c>
      <c r="K32" s="31">
        <f t="shared" si="3"/>
        <v>0.25841327851378104</v>
      </c>
    </row>
    <row r="33" spans="1:11" ht="13" x14ac:dyDescent="0.3">
      <c r="A33" s="5" t="s">
        <v>10</v>
      </c>
      <c r="B33" s="5" t="s">
        <v>665</v>
      </c>
      <c r="C33" s="6" t="s">
        <v>58</v>
      </c>
      <c r="D33" s="8">
        <v>1150</v>
      </c>
      <c r="E33" s="9">
        <v>1590</v>
      </c>
      <c r="F33" s="29">
        <f t="shared" si="0"/>
        <v>0.38260869565217392</v>
      </c>
      <c r="G33" s="31">
        <f t="shared" si="1"/>
        <v>0.27672955974842772</v>
      </c>
      <c r="H33" s="31" t="str">
        <f>VLOOKUP(C33,'Maestro de Productos'!$G:$H,2,0)</f>
        <v>4x750</v>
      </c>
      <c r="I33" s="31"/>
      <c r="J33" s="10">
        <f t="shared" si="2"/>
        <v>1574.1</v>
      </c>
      <c r="K33" s="31">
        <f t="shared" si="3"/>
        <v>0.26942379772568448</v>
      </c>
    </row>
    <row r="34" spans="1:11" ht="13" x14ac:dyDescent="0.3">
      <c r="A34" s="5" t="s">
        <v>10</v>
      </c>
      <c r="B34" s="5" t="s">
        <v>665</v>
      </c>
      <c r="C34" s="4" t="s">
        <v>61</v>
      </c>
      <c r="D34" s="8">
        <v>1150</v>
      </c>
      <c r="E34" s="9">
        <v>1590</v>
      </c>
      <c r="F34" s="29">
        <f t="shared" si="0"/>
        <v>0.38260869565217392</v>
      </c>
      <c r="G34" s="31">
        <f t="shared" ref="G34:G67" si="4">IFERROR(1-D34/E34,0)</f>
        <v>0.27672955974842772</v>
      </c>
      <c r="H34" s="31" t="str">
        <f>VLOOKUP(C34,'Maestro de Productos'!$G:$H,2,0)</f>
        <v>4x750</v>
      </c>
      <c r="I34" s="31"/>
      <c r="J34" s="10">
        <f t="shared" ref="J34:J65" si="5">E34*0.99</f>
        <v>1574.1</v>
      </c>
      <c r="K34" s="31">
        <f t="shared" si="3"/>
        <v>0.26942379772568448</v>
      </c>
    </row>
    <row r="35" spans="1:11" ht="13" x14ac:dyDescent="0.3">
      <c r="A35" s="5" t="s">
        <v>10</v>
      </c>
      <c r="B35" s="5" t="s">
        <v>665</v>
      </c>
      <c r="C35" s="6" t="s">
        <v>62</v>
      </c>
      <c r="D35" s="8">
        <v>1252</v>
      </c>
      <c r="E35" s="9">
        <v>1690</v>
      </c>
      <c r="F35" s="29">
        <f t="shared" si="0"/>
        <v>0.34984025559105425</v>
      </c>
      <c r="G35" s="31">
        <f t="shared" si="4"/>
        <v>0.25917159763313613</v>
      </c>
      <c r="H35" s="31" t="str">
        <f>VLOOKUP(C35,'Maestro de Productos'!$G:$H,2,0)</f>
        <v>4x750</v>
      </c>
      <c r="I35" s="31"/>
      <c r="J35" s="10">
        <f t="shared" si="5"/>
        <v>1673.1</v>
      </c>
      <c r="K35" s="31">
        <f t="shared" si="3"/>
        <v>0.25168848245771314</v>
      </c>
    </row>
    <row r="36" spans="1:11" ht="13" x14ac:dyDescent="0.3">
      <c r="A36" s="5" t="s">
        <v>10</v>
      </c>
      <c r="B36" s="5" t="s">
        <v>665</v>
      </c>
      <c r="C36" s="6" t="s">
        <v>63</v>
      </c>
      <c r="D36" s="8">
        <v>1603</v>
      </c>
      <c r="E36" s="9">
        <v>2190</v>
      </c>
      <c r="F36" s="29">
        <f t="shared" si="0"/>
        <v>0.36618839675608239</v>
      </c>
      <c r="G36" s="31">
        <f t="shared" si="4"/>
        <v>0.26803652968036529</v>
      </c>
      <c r="H36" s="31" t="str">
        <f>VLOOKUP(C36,'Maestro de Productos'!$G:$H,2,0)</f>
        <v>4x750</v>
      </c>
      <c r="I36" s="31"/>
      <c r="J36" s="10">
        <f t="shared" si="5"/>
        <v>2168.1</v>
      </c>
      <c r="K36" s="31">
        <f t="shared" si="3"/>
        <v>0.26064295927309622</v>
      </c>
    </row>
    <row r="37" spans="1:11" ht="13" x14ac:dyDescent="0.3">
      <c r="A37" s="5" t="s">
        <v>10</v>
      </c>
      <c r="B37" s="5" t="s">
        <v>665</v>
      </c>
      <c r="C37" s="4" t="s">
        <v>64</v>
      </c>
      <c r="D37" s="8">
        <v>2299</v>
      </c>
      <c r="E37" s="9">
        <v>3090</v>
      </c>
      <c r="F37" s="29">
        <f t="shared" si="0"/>
        <v>0.34406263592866471</v>
      </c>
      <c r="G37" s="31">
        <f t="shared" si="4"/>
        <v>0.25598705501618124</v>
      </c>
      <c r="H37" s="31" t="str">
        <f>VLOOKUP(C37,'Maestro de Productos'!$G:$H,2,0)</f>
        <v>4x750</v>
      </c>
      <c r="I37" s="31"/>
      <c r="J37" s="10">
        <f t="shared" si="5"/>
        <v>3059.1</v>
      </c>
      <c r="K37" s="31">
        <f t="shared" si="3"/>
        <v>0.24847177274361743</v>
      </c>
    </row>
    <row r="38" spans="1:11" ht="13" x14ac:dyDescent="0.3">
      <c r="A38" s="5" t="s">
        <v>10</v>
      </c>
      <c r="B38" s="5" t="s">
        <v>665</v>
      </c>
      <c r="C38" s="4" t="s">
        <v>67</v>
      </c>
      <c r="D38" s="8">
        <v>1238</v>
      </c>
      <c r="E38" s="9">
        <v>1790</v>
      </c>
      <c r="F38" s="29">
        <f t="shared" si="0"/>
        <v>0.44588045234248797</v>
      </c>
      <c r="G38" s="31">
        <f t="shared" si="4"/>
        <v>0.30837988826815643</v>
      </c>
      <c r="H38" s="31" t="str">
        <f>VLOOKUP(C38,'Maestro de Productos'!$G:$H,2,0)</f>
        <v>6x750</v>
      </c>
      <c r="I38" s="31"/>
      <c r="J38" s="10">
        <f t="shared" si="5"/>
        <v>1772.1</v>
      </c>
      <c r="K38" s="31">
        <f t="shared" si="3"/>
        <v>0.30139382653349134</v>
      </c>
    </row>
    <row r="39" spans="1:11" ht="13" x14ac:dyDescent="0.3">
      <c r="A39" s="5" t="s">
        <v>10</v>
      </c>
      <c r="B39" s="5" t="s">
        <v>665</v>
      </c>
      <c r="C39" s="6" t="s">
        <v>68</v>
      </c>
      <c r="D39" s="8">
        <v>1375</v>
      </c>
      <c r="E39" s="9">
        <v>1890</v>
      </c>
      <c r="F39" s="29">
        <f t="shared" si="0"/>
        <v>0.37454545454545451</v>
      </c>
      <c r="G39" s="31">
        <f t="shared" si="4"/>
        <v>0.27248677248677244</v>
      </c>
      <c r="H39" s="31" t="str">
        <f>VLOOKUP(C39,'Maestro de Productos'!$G:$H,2,0)</f>
        <v>6x750</v>
      </c>
      <c r="I39" s="31"/>
      <c r="J39" s="10">
        <f t="shared" si="5"/>
        <v>1871.1</v>
      </c>
      <c r="K39" s="31">
        <f t="shared" si="3"/>
        <v>0.26513815402704288</v>
      </c>
    </row>
    <row r="40" spans="1:11" ht="13" x14ac:dyDescent="0.3">
      <c r="A40" s="5" t="s">
        <v>10</v>
      </c>
      <c r="B40" s="5" t="s">
        <v>665</v>
      </c>
      <c r="C40" s="6" t="s">
        <v>69</v>
      </c>
      <c r="D40" s="8">
        <v>1430</v>
      </c>
      <c r="E40" s="9">
        <v>1990</v>
      </c>
      <c r="F40" s="29">
        <f t="shared" si="0"/>
        <v>0.39160839160839167</v>
      </c>
      <c r="G40" s="31">
        <f t="shared" si="4"/>
        <v>0.28140703517587939</v>
      </c>
      <c r="H40" s="31" t="str">
        <f>VLOOKUP(C40,'Maestro de Productos'!$G:$H,2,0)</f>
        <v>6x750</v>
      </c>
      <c r="I40" s="31"/>
      <c r="J40" s="10">
        <f t="shared" si="5"/>
        <v>1970.1</v>
      </c>
      <c r="K40" s="31">
        <f t="shared" si="3"/>
        <v>0.27414852037967608</v>
      </c>
    </row>
    <row r="41" spans="1:11" ht="13" x14ac:dyDescent="0.3">
      <c r="A41" s="5" t="s">
        <v>10</v>
      </c>
      <c r="B41" s="5" t="s">
        <v>665</v>
      </c>
      <c r="C41" s="6" t="s">
        <v>71</v>
      </c>
      <c r="D41" s="8">
        <v>1485</v>
      </c>
      <c r="E41" s="9">
        <v>2090</v>
      </c>
      <c r="F41" s="29">
        <f t="shared" si="0"/>
        <v>0.40740740740740744</v>
      </c>
      <c r="G41" s="31">
        <f t="shared" si="4"/>
        <v>0.28947368421052633</v>
      </c>
      <c r="H41" s="31" t="str">
        <f>VLOOKUP(C41,'Maestro de Productos'!$G:$H,2,0)</f>
        <v>6x750</v>
      </c>
      <c r="I41" s="31"/>
      <c r="J41" s="10">
        <f t="shared" si="5"/>
        <v>2069.1</v>
      </c>
      <c r="K41" s="31">
        <f t="shared" si="3"/>
        <v>0.28229665071770327</v>
      </c>
    </row>
    <row r="42" spans="1:11" ht="13" x14ac:dyDescent="0.3">
      <c r="A42" s="5" t="s">
        <v>10</v>
      </c>
      <c r="B42" s="5" t="s">
        <v>665</v>
      </c>
      <c r="C42" s="6" t="s">
        <v>73</v>
      </c>
      <c r="D42" s="8">
        <v>2310</v>
      </c>
      <c r="E42" s="9">
        <v>3990</v>
      </c>
      <c r="F42" s="29">
        <f t="shared" si="0"/>
        <v>0.72727272727272729</v>
      </c>
      <c r="G42" s="31">
        <f t="shared" si="4"/>
        <v>0.42105263157894735</v>
      </c>
      <c r="H42" s="31" t="str">
        <f>VLOOKUP(C42,'Maestro de Productos'!$G:$H,2,0)</f>
        <v>6x750</v>
      </c>
      <c r="I42" s="31"/>
      <c r="J42" s="10">
        <f t="shared" si="5"/>
        <v>3950.1</v>
      </c>
      <c r="K42" s="31">
        <f t="shared" si="3"/>
        <v>0.41520467836257313</v>
      </c>
    </row>
    <row r="43" spans="1:11" ht="13" x14ac:dyDescent="0.3">
      <c r="A43" s="5" t="s">
        <v>10</v>
      </c>
      <c r="B43" s="5" t="s">
        <v>665</v>
      </c>
      <c r="C43" s="6" t="s">
        <v>74</v>
      </c>
      <c r="D43" s="8">
        <v>2310</v>
      </c>
      <c r="E43" s="9">
        <v>3990</v>
      </c>
      <c r="F43" s="29">
        <f t="shared" si="0"/>
        <v>0.72727272727272729</v>
      </c>
      <c r="G43" s="31">
        <f t="shared" si="4"/>
        <v>0.42105263157894735</v>
      </c>
      <c r="H43" s="31" t="str">
        <f>VLOOKUP(C43,'Maestro de Productos'!$G:$H,2,0)</f>
        <v>6x750</v>
      </c>
      <c r="I43" s="31"/>
      <c r="J43" s="10">
        <f t="shared" si="5"/>
        <v>3950.1</v>
      </c>
      <c r="K43" s="31">
        <f t="shared" si="3"/>
        <v>0.41520467836257313</v>
      </c>
    </row>
    <row r="44" spans="1:11" ht="13" x14ac:dyDescent="0.3">
      <c r="A44" s="5" t="s">
        <v>10</v>
      </c>
      <c r="B44" s="5" t="s">
        <v>665</v>
      </c>
      <c r="C44" s="6" t="s">
        <v>75</v>
      </c>
      <c r="D44" s="8">
        <v>2310</v>
      </c>
      <c r="E44" s="9">
        <v>3990</v>
      </c>
      <c r="F44" s="29">
        <f t="shared" si="0"/>
        <v>0.72727272727272729</v>
      </c>
      <c r="G44" s="31">
        <f t="shared" si="4"/>
        <v>0.42105263157894735</v>
      </c>
      <c r="H44" s="31" t="str">
        <f>VLOOKUP(C44,'Maestro de Productos'!$G:$H,2,0)</f>
        <v>6x750</v>
      </c>
      <c r="I44" s="31"/>
      <c r="J44" s="10">
        <f t="shared" si="5"/>
        <v>3950.1</v>
      </c>
      <c r="K44" s="31">
        <f t="shared" si="3"/>
        <v>0.41520467836257313</v>
      </c>
    </row>
    <row r="45" spans="1:11" ht="13" x14ac:dyDescent="0.3">
      <c r="A45" s="5" t="s">
        <v>10</v>
      </c>
      <c r="B45" s="5" t="s">
        <v>665</v>
      </c>
      <c r="C45" s="6" t="s">
        <v>76</v>
      </c>
      <c r="D45" s="8">
        <v>2310</v>
      </c>
      <c r="E45" s="9">
        <v>3990</v>
      </c>
      <c r="F45" s="29">
        <f t="shared" si="0"/>
        <v>0.72727272727272729</v>
      </c>
      <c r="G45" s="31">
        <f t="shared" si="4"/>
        <v>0.42105263157894735</v>
      </c>
      <c r="H45" s="31" t="str">
        <f>VLOOKUP(C45,'Maestro de Productos'!$G:$H,2,0)</f>
        <v>6x750</v>
      </c>
      <c r="I45" s="31"/>
      <c r="J45" s="10">
        <f t="shared" si="5"/>
        <v>3950.1</v>
      </c>
      <c r="K45" s="31">
        <f t="shared" si="3"/>
        <v>0.41520467836257313</v>
      </c>
    </row>
    <row r="46" spans="1:11" ht="13" x14ac:dyDescent="0.3">
      <c r="A46" s="5" t="s">
        <v>10</v>
      </c>
      <c r="B46" s="5" t="s">
        <v>665</v>
      </c>
      <c r="C46" s="6" t="s">
        <v>77</v>
      </c>
      <c r="D46" s="8">
        <v>2310</v>
      </c>
      <c r="E46" s="9">
        <v>4490</v>
      </c>
      <c r="F46" s="29">
        <f t="shared" si="0"/>
        <v>0.94372294372294374</v>
      </c>
      <c r="G46" s="31">
        <f t="shared" si="4"/>
        <v>0.48552338530066819</v>
      </c>
      <c r="H46" s="31" t="str">
        <f>VLOOKUP(C46,'Maestro de Productos'!$G:$H,2,0)</f>
        <v>6x750</v>
      </c>
      <c r="I46" s="31"/>
      <c r="J46" s="10">
        <f t="shared" si="5"/>
        <v>4445.1000000000004</v>
      </c>
      <c r="K46" s="31">
        <f t="shared" si="3"/>
        <v>0.48032665181885681</v>
      </c>
    </row>
    <row r="47" spans="1:11" ht="13" x14ac:dyDescent="0.3">
      <c r="A47" s="5" t="s">
        <v>10</v>
      </c>
      <c r="B47" s="5" t="s">
        <v>665</v>
      </c>
      <c r="C47" s="4" t="s">
        <v>78</v>
      </c>
      <c r="D47" s="8">
        <v>7150</v>
      </c>
      <c r="E47" s="9">
        <v>9990</v>
      </c>
      <c r="F47" s="29">
        <f t="shared" si="0"/>
        <v>0.39720279720279716</v>
      </c>
      <c r="G47" s="31">
        <f t="shared" si="4"/>
        <v>0.28428428428428432</v>
      </c>
      <c r="H47" s="31" t="str">
        <f>VLOOKUP(C47,'Maestro de Productos'!$G:$H,2,0)</f>
        <v>1x750</v>
      </c>
      <c r="I47" s="31"/>
      <c r="J47" s="10">
        <f t="shared" si="5"/>
        <v>9890.1</v>
      </c>
      <c r="K47" s="31">
        <f t="shared" si="3"/>
        <v>0.27705483261038821</v>
      </c>
    </row>
    <row r="48" spans="1:11" ht="13" x14ac:dyDescent="0.3">
      <c r="A48" s="5" t="s">
        <v>10</v>
      </c>
      <c r="B48" s="5" t="s">
        <v>665</v>
      </c>
      <c r="C48" s="6" t="s">
        <v>81</v>
      </c>
      <c r="D48" s="8">
        <v>6545</v>
      </c>
      <c r="E48" s="9">
        <v>9990</v>
      </c>
      <c r="F48" s="29">
        <f t="shared" si="0"/>
        <v>0.52635599694423219</v>
      </c>
      <c r="G48" s="31">
        <f t="shared" si="4"/>
        <v>0.3448448448448449</v>
      </c>
      <c r="H48" s="31" t="str">
        <f>VLOOKUP(C48,'Maestro de Productos'!$G:$H,2,0)</f>
        <v>1x750</v>
      </c>
      <c r="I48" s="31"/>
      <c r="J48" s="10">
        <f t="shared" si="5"/>
        <v>9890.1</v>
      </c>
      <c r="K48" s="31">
        <f t="shared" si="3"/>
        <v>0.33822711600489386</v>
      </c>
    </row>
    <row r="49" spans="1:12" ht="13" x14ac:dyDescent="0.3">
      <c r="A49" s="5" t="s">
        <v>10</v>
      </c>
      <c r="B49" s="5" t="s">
        <v>665</v>
      </c>
      <c r="C49" s="6" t="s">
        <v>84</v>
      </c>
      <c r="D49" s="8">
        <f>7200*1.2</f>
        <v>8640</v>
      </c>
      <c r="E49" s="9">
        <v>13900</v>
      </c>
      <c r="F49" s="29">
        <f>E49/D49-1</f>
        <v>0.60879629629629628</v>
      </c>
      <c r="G49" s="31">
        <f t="shared" si="4"/>
        <v>0.37841726618705041</v>
      </c>
      <c r="H49" s="31" t="str">
        <f>VLOOKUP(C49,'Maestro de Productos'!$G:$H,2,0)</f>
        <v>1x750</v>
      </c>
      <c r="I49" s="31"/>
      <c r="J49" s="10">
        <f t="shared" si="5"/>
        <v>13761</v>
      </c>
      <c r="K49" s="31">
        <f t="shared" si="3"/>
        <v>0.37213865271419233</v>
      </c>
    </row>
    <row r="50" spans="1:12" ht="13" x14ac:dyDescent="0.3">
      <c r="A50" s="5" t="s">
        <v>10</v>
      </c>
      <c r="B50" s="5" t="s">
        <v>665</v>
      </c>
      <c r="C50" s="6" t="s">
        <v>87</v>
      </c>
      <c r="D50" s="12">
        <v>1050</v>
      </c>
      <c r="E50" s="9">
        <v>1590</v>
      </c>
      <c r="F50" s="29">
        <f t="shared" si="0"/>
        <v>0.51428571428571423</v>
      </c>
      <c r="G50" s="31">
        <f t="shared" si="4"/>
        <v>0.339622641509434</v>
      </c>
      <c r="H50" s="31" t="str">
        <f>VLOOKUP(C50,'Maestro de Productos'!$G:$H,2,0)</f>
        <v>6x750</v>
      </c>
      <c r="I50" s="31"/>
      <c r="J50" s="10">
        <f t="shared" si="5"/>
        <v>1574.1</v>
      </c>
      <c r="K50" s="31">
        <f t="shared" si="3"/>
        <v>0.33295216314084231</v>
      </c>
    </row>
    <row r="51" spans="1:12" ht="13" x14ac:dyDescent="0.3">
      <c r="A51" s="5" t="s">
        <v>667</v>
      </c>
      <c r="B51" s="5" t="s">
        <v>665</v>
      </c>
      <c r="C51" s="4" t="s">
        <v>594</v>
      </c>
      <c r="D51" s="8">
        <v>1050</v>
      </c>
      <c r="E51" s="9">
        <v>1690</v>
      </c>
      <c r="F51" s="29">
        <f>E51/D51-1</f>
        <v>0.60952380952380958</v>
      </c>
      <c r="G51" s="31">
        <f t="shared" si="4"/>
        <v>0.37869822485207105</v>
      </c>
      <c r="H51" s="31" t="str">
        <f>VLOOKUP(C51,'Maestro de Productos'!$G:$H,2,0)</f>
        <v>6x750</v>
      </c>
      <c r="I51" s="31"/>
      <c r="J51" s="10">
        <f t="shared" si="5"/>
        <v>1673.1</v>
      </c>
      <c r="K51" s="31">
        <f t="shared" si="3"/>
        <v>0.37242244934552626</v>
      </c>
      <c r="L51" s="32"/>
    </row>
    <row r="52" spans="1:12" ht="13" x14ac:dyDescent="0.3">
      <c r="A52" s="5" t="s">
        <v>10</v>
      </c>
      <c r="B52" s="5" t="s">
        <v>666</v>
      </c>
      <c r="C52" s="6" t="s">
        <v>89</v>
      </c>
      <c r="D52" s="12">
        <v>1290</v>
      </c>
      <c r="E52" s="9">
        <v>1690</v>
      </c>
      <c r="F52" s="29">
        <f t="shared" si="0"/>
        <v>0.31007751937984507</v>
      </c>
      <c r="G52" s="31">
        <f t="shared" si="4"/>
        <v>0.23668639053254437</v>
      </c>
      <c r="H52" s="31" t="str">
        <f>VLOOKUP(C52,'Maestro de Productos'!$G:$H,2,0)</f>
        <v>6x750</v>
      </c>
      <c r="I52" s="31"/>
      <c r="J52" s="10">
        <f t="shared" si="5"/>
        <v>1673.1</v>
      </c>
      <c r="K52" s="31">
        <f t="shared" si="3"/>
        <v>0.22897615205307509</v>
      </c>
    </row>
    <row r="53" spans="1:12" ht="13" x14ac:dyDescent="0.3">
      <c r="A53" s="5" t="s">
        <v>10</v>
      </c>
      <c r="B53" s="5" t="s">
        <v>665</v>
      </c>
      <c r="C53" s="6" t="s">
        <v>92</v>
      </c>
      <c r="D53" s="12">
        <f>3450/1.21*1.245*0.55*0.95</f>
        <v>1854.7670454545457</v>
      </c>
      <c r="E53" s="9">
        <v>2490</v>
      </c>
      <c r="F53" s="29">
        <f t="shared" si="0"/>
        <v>0.34248665141113643</v>
      </c>
      <c r="G53" s="31">
        <f t="shared" si="4"/>
        <v>0.25511363636363626</v>
      </c>
      <c r="H53" s="31" t="str">
        <f>VLOOKUP(C53,'Maestro de Productos'!$G:$H,2,0)</f>
        <v>6x750</v>
      </c>
      <c r="I53" s="31"/>
      <c r="J53" s="10">
        <f t="shared" si="5"/>
        <v>2465.1</v>
      </c>
      <c r="K53" s="31">
        <f t="shared" si="3"/>
        <v>0.24758953168044062</v>
      </c>
    </row>
    <row r="54" spans="1:12" ht="13" x14ac:dyDescent="0.3">
      <c r="A54" s="5" t="s">
        <v>10</v>
      </c>
      <c r="B54" s="5" t="s">
        <v>665</v>
      </c>
      <c r="C54" s="6" t="s">
        <v>93</v>
      </c>
      <c r="D54" s="12">
        <f>3450/1.21*1.245*0.55*0.95</f>
        <v>1854.7670454545457</v>
      </c>
      <c r="E54" s="9">
        <v>2490</v>
      </c>
      <c r="F54" s="29">
        <f t="shared" si="0"/>
        <v>0.34248665141113643</v>
      </c>
      <c r="G54" s="31">
        <f t="shared" si="4"/>
        <v>0.25511363636363626</v>
      </c>
      <c r="H54" s="31" t="str">
        <f>VLOOKUP(C54,'Maestro de Productos'!$G:$H,2,0)</f>
        <v>6x750</v>
      </c>
      <c r="I54" s="31"/>
      <c r="J54" s="10">
        <f t="shared" si="5"/>
        <v>2465.1</v>
      </c>
      <c r="K54" s="31">
        <f t="shared" si="3"/>
        <v>0.24758953168044062</v>
      </c>
    </row>
    <row r="55" spans="1:12" ht="13" x14ac:dyDescent="0.3">
      <c r="A55" s="5" t="s">
        <v>10</v>
      </c>
      <c r="B55" s="5" t="s">
        <v>665</v>
      </c>
      <c r="C55" s="4" t="s">
        <v>94</v>
      </c>
      <c r="D55" s="12">
        <f>6790/1.21*1.245*0.55*0.95</f>
        <v>3650.3965909090912</v>
      </c>
      <c r="E55" s="9">
        <v>4790</v>
      </c>
      <c r="F55" s="29">
        <f t="shared" si="0"/>
        <v>0.31218619147545912</v>
      </c>
      <c r="G55" s="31">
        <f t="shared" si="4"/>
        <v>0.23791302903776801</v>
      </c>
      <c r="H55" s="31" t="str">
        <f>VLOOKUP(C55,'Maestro de Productos'!$G:$H,2,0)</f>
        <v>6x750</v>
      </c>
      <c r="I55" s="31"/>
      <c r="J55" s="10">
        <f t="shared" si="5"/>
        <v>4742.1000000000004</v>
      </c>
      <c r="K55" s="31">
        <f t="shared" si="3"/>
        <v>0.23021518084623038</v>
      </c>
    </row>
    <row r="56" spans="1:12" ht="13" x14ac:dyDescent="0.3">
      <c r="A56" s="5" t="s">
        <v>10</v>
      </c>
      <c r="B56" s="5" t="s">
        <v>665</v>
      </c>
      <c r="C56" s="4" t="s">
        <v>95</v>
      </c>
      <c r="D56" s="12">
        <f>6790/1.21*1.245*0.55*0.95</f>
        <v>3650.3965909090912</v>
      </c>
      <c r="E56" s="9">
        <v>4790</v>
      </c>
      <c r="F56" s="29">
        <f t="shared" si="0"/>
        <v>0.31218619147545912</v>
      </c>
      <c r="G56" s="31">
        <f t="shared" si="4"/>
        <v>0.23791302903776801</v>
      </c>
      <c r="H56" s="31" t="str">
        <f>VLOOKUP(C56,'Maestro de Productos'!$G:$H,2,0)</f>
        <v>6x750</v>
      </c>
      <c r="I56" s="31"/>
      <c r="J56" s="10">
        <f t="shared" si="5"/>
        <v>4742.1000000000004</v>
      </c>
      <c r="K56" s="31">
        <f t="shared" si="3"/>
        <v>0.23021518084623038</v>
      </c>
    </row>
    <row r="57" spans="1:12" ht="13" x14ac:dyDescent="0.3">
      <c r="A57" s="5" t="s">
        <v>10</v>
      </c>
      <c r="B57" s="5" t="s">
        <v>665</v>
      </c>
      <c r="C57" s="6" t="s">
        <v>97</v>
      </c>
      <c r="D57" s="12">
        <f>17450/1.21*1.24*0.5*0.95</f>
        <v>8494.256198347106</v>
      </c>
      <c r="E57" s="9">
        <v>11990</v>
      </c>
      <c r="F57" s="29">
        <f t="shared" si="0"/>
        <v>0.41154207266942677</v>
      </c>
      <c r="G57" s="31">
        <f t="shared" si="4"/>
        <v>0.29155494592601283</v>
      </c>
      <c r="H57" s="31" t="str">
        <f>VLOOKUP(C57,'Maestro de Productos'!$G:$H,2,0)</f>
        <v>1x750</v>
      </c>
      <c r="I57" s="31"/>
      <c r="J57" s="10">
        <f t="shared" si="5"/>
        <v>11870.1</v>
      </c>
      <c r="K57" s="31">
        <f t="shared" si="3"/>
        <v>0.28439893527880089</v>
      </c>
    </row>
    <row r="58" spans="1:12" ht="13" x14ac:dyDescent="0.3">
      <c r="A58" s="5" t="s">
        <v>10</v>
      </c>
      <c r="B58" s="5" t="s">
        <v>665</v>
      </c>
      <c r="C58" s="6" t="s">
        <v>98</v>
      </c>
      <c r="D58" s="12">
        <f>3550/1.21*1.24*0.55*0.95</f>
        <v>1900.8636363636363</v>
      </c>
      <c r="E58" s="9">
        <v>2490</v>
      </c>
      <c r="F58" s="29">
        <f t="shared" si="0"/>
        <v>0.30993089265644813</v>
      </c>
      <c r="G58" s="31">
        <f t="shared" si="4"/>
        <v>0.23660094925155173</v>
      </c>
      <c r="H58" s="31" t="str">
        <f>VLOOKUP(C58,'Maestro de Productos'!$G:$H,2,0)</f>
        <v>6x750</v>
      </c>
      <c r="I58" s="31"/>
      <c r="J58" s="10">
        <f t="shared" si="5"/>
        <v>2465.1</v>
      </c>
      <c r="K58" s="31">
        <f t="shared" si="3"/>
        <v>0.22888984772884002</v>
      </c>
    </row>
    <row r="59" spans="1:12" ht="13" x14ac:dyDescent="0.3">
      <c r="A59" s="5" t="s">
        <v>10</v>
      </c>
      <c r="B59" s="5" t="s">
        <v>666</v>
      </c>
      <c r="C59" s="6" t="s">
        <v>100</v>
      </c>
      <c r="D59" s="12">
        <f>1850/1.21*1.24*0.55*0.95*10/11</f>
        <v>900.53719008264454</v>
      </c>
      <c r="E59" s="9">
        <v>1190</v>
      </c>
      <c r="F59" s="29">
        <f t="shared" si="0"/>
        <v>0.32143348781718917</v>
      </c>
      <c r="G59" s="31">
        <f t="shared" si="4"/>
        <v>0.24324605875408023</v>
      </c>
      <c r="H59" s="31" t="str">
        <f>VLOOKUP(C59,'Maestro de Productos'!$G:$H,2,0)</f>
        <v>6x750</v>
      </c>
      <c r="I59" s="31"/>
      <c r="J59" s="10">
        <f t="shared" si="5"/>
        <v>1178.0999999999999</v>
      </c>
      <c r="K59" s="31">
        <f t="shared" si="3"/>
        <v>0.2356020795495759</v>
      </c>
    </row>
    <row r="60" spans="1:12" ht="13" x14ac:dyDescent="0.3">
      <c r="A60" s="5" t="s">
        <v>10</v>
      </c>
      <c r="B60" s="5" t="s">
        <v>665</v>
      </c>
      <c r="C60" s="4" t="s">
        <v>102</v>
      </c>
      <c r="D60" s="12">
        <f>10920/1.21*1.24*0.5*0.95</f>
        <v>5315.6033057851246</v>
      </c>
      <c r="E60" s="9">
        <v>7290</v>
      </c>
      <c r="F60" s="29">
        <f t="shared" si="0"/>
        <v>0.37143416854792055</v>
      </c>
      <c r="G60" s="31">
        <f t="shared" si="4"/>
        <v>0.27083630922014756</v>
      </c>
      <c r="H60" s="31" t="str">
        <f>VLOOKUP(C60,'Maestro de Productos'!$G:$H,2,0)</f>
        <v>3x750</v>
      </c>
      <c r="I60" s="31"/>
      <c r="J60" s="10">
        <f t="shared" si="5"/>
        <v>7217.1</v>
      </c>
      <c r="K60" s="31">
        <f t="shared" si="3"/>
        <v>0.26347101941429041</v>
      </c>
      <c r="L60" s="10"/>
    </row>
    <row r="61" spans="1:12" ht="13" x14ac:dyDescent="0.3">
      <c r="A61" s="5" t="s">
        <v>10</v>
      </c>
      <c r="B61" s="5" t="s">
        <v>665</v>
      </c>
      <c r="C61" s="6" t="s">
        <v>104</v>
      </c>
      <c r="D61" s="12">
        <f>4400/1.21*1.24*0.55*0.95*10/11</f>
        <v>2141.818181818182</v>
      </c>
      <c r="E61" s="9">
        <v>2990</v>
      </c>
      <c r="F61" s="29">
        <f t="shared" si="0"/>
        <v>0.39601018675721544</v>
      </c>
      <c r="G61" s="31">
        <f t="shared" si="4"/>
        <v>0.28367284889024014</v>
      </c>
      <c r="H61" s="31" t="str">
        <f>VLOOKUP(C61,'Maestro de Productos'!$G:$H,2,0)</f>
        <v>6x750</v>
      </c>
      <c r="I61" s="31"/>
      <c r="J61" s="10">
        <f t="shared" si="5"/>
        <v>2960.1</v>
      </c>
      <c r="K61" s="31">
        <f t="shared" si="3"/>
        <v>0.27643722110125268</v>
      </c>
      <c r="L61" s="10"/>
    </row>
    <row r="62" spans="1:12" ht="13" x14ac:dyDescent="0.3">
      <c r="A62" s="5" t="s">
        <v>10</v>
      </c>
      <c r="B62" s="5" t="s">
        <v>665</v>
      </c>
      <c r="C62" s="6" t="s">
        <v>105</v>
      </c>
      <c r="D62" s="12">
        <f>3360/1.21*1.24*0.55*0.95*10/11</f>
        <v>1635.5702479338843</v>
      </c>
      <c r="E62" s="9">
        <v>2090</v>
      </c>
      <c r="F62" s="29">
        <f t="shared" si="0"/>
        <v>0.27784178187403996</v>
      </c>
      <c r="G62" s="31">
        <f t="shared" si="4"/>
        <v>0.21743050338091663</v>
      </c>
      <c r="H62" s="31" t="str">
        <f>VLOOKUP(C62,'Maestro de Productos'!$G:$H,2,0)</f>
        <v>6x750</v>
      </c>
      <c r="I62" s="31"/>
      <c r="J62" s="10">
        <f t="shared" si="5"/>
        <v>2069.1</v>
      </c>
      <c r="K62" s="31">
        <f t="shared" si="3"/>
        <v>0.20952576099082487</v>
      </c>
      <c r="L62" s="10"/>
    </row>
    <row r="63" spans="1:12" ht="13" x14ac:dyDescent="0.3">
      <c r="A63" s="5" t="s">
        <v>10</v>
      </c>
      <c r="B63" s="5" t="s">
        <v>665</v>
      </c>
      <c r="C63" s="6" t="s">
        <v>106</v>
      </c>
      <c r="D63" s="12">
        <f>2670/1.21*1.24*0.55*0.95*10/11</f>
        <v>1299.6942148760329</v>
      </c>
      <c r="E63" s="9">
        <v>1790</v>
      </c>
      <c r="F63" s="29">
        <f t="shared" si="0"/>
        <v>0.37724703204186638</v>
      </c>
      <c r="G63" s="31">
        <f t="shared" si="4"/>
        <v>0.27391384643797045</v>
      </c>
      <c r="H63" s="31" t="str">
        <f>VLOOKUP(C63,'Maestro de Productos'!$G:$H,2,0)</f>
        <v>6x750</v>
      </c>
      <c r="I63" s="31"/>
      <c r="J63" s="10">
        <f t="shared" si="5"/>
        <v>1772.1</v>
      </c>
      <c r="K63" s="31">
        <f t="shared" si="3"/>
        <v>0.26657964286663682</v>
      </c>
    </row>
    <row r="64" spans="1:12" ht="13" x14ac:dyDescent="0.3">
      <c r="A64" s="5" t="s">
        <v>10</v>
      </c>
      <c r="B64" s="5" t="s">
        <v>665</v>
      </c>
      <c r="C64" s="6" t="s">
        <v>108</v>
      </c>
      <c r="D64" s="12">
        <f t="shared" ref="D64:D65" si="6">2670/1.21*1.24*0.55*0.95*10/11</f>
        <v>1299.6942148760329</v>
      </c>
      <c r="E64" s="9">
        <v>1790</v>
      </c>
      <c r="F64" s="29">
        <f t="shared" si="0"/>
        <v>0.37724703204186638</v>
      </c>
      <c r="G64" s="31">
        <f t="shared" si="4"/>
        <v>0.27391384643797045</v>
      </c>
      <c r="H64" s="31" t="str">
        <f>VLOOKUP(C64,'Maestro de Productos'!$G:$H,2,0)</f>
        <v>6x750</v>
      </c>
      <c r="I64" s="31"/>
      <c r="J64" s="10">
        <f t="shared" si="5"/>
        <v>1772.1</v>
      </c>
      <c r="K64" s="31">
        <f t="shared" si="3"/>
        <v>0.26657964286663682</v>
      </c>
    </row>
    <row r="65" spans="1:14" ht="13" x14ac:dyDescent="0.3">
      <c r="A65" s="5" t="s">
        <v>10</v>
      </c>
      <c r="B65" s="5" t="s">
        <v>665</v>
      </c>
      <c r="C65" s="6" t="s">
        <v>109</v>
      </c>
      <c r="D65" s="12">
        <f t="shared" si="6"/>
        <v>1299.6942148760329</v>
      </c>
      <c r="E65" s="9">
        <v>1790</v>
      </c>
      <c r="F65" s="29">
        <f t="shared" si="0"/>
        <v>0.37724703204186638</v>
      </c>
      <c r="G65" s="31">
        <f t="shared" si="4"/>
        <v>0.27391384643797045</v>
      </c>
      <c r="H65" s="31" t="str">
        <f>VLOOKUP(C65,'Maestro de Productos'!$G:$H,2,0)</f>
        <v>6x750</v>
      </c>
      <c r="I65" s="31"/>
      <c r="J65" s="10">
        <f t="shared" si="5"/>
        <v>1772.1</v>
      </c>
      <c r="K65" s="31">
        <f t="shared" si="3"/>
        <v>0.26657964286663682</v>
      </c>
    </row>
    <row r="66" spans="1:14" ht="13" x14ac:dyDescent="0.3">
      <c r="A66" s="5" t="s">
        <v>10</v>
      </c>
      <c r="B66" s="5" t="s">
        <v>665</v>
      </c>
      <c r="C66" s="6" t="s">
        <v>111</v>
      </c>
      <c r="D66" s="12">
        <f>6260/1.21*1.24*0.5*0.95</f>
        <v>3047.2231404958679</v>
      </c>
      <c r="E66" s="9">
        <v>3990</v>
      </c>
      <c r="F66" s="29">
        <f t="shared" ref="F66:F138" si="7">E66/D66-1</f>
        <v>0.30938884880964634</v>
      </c>
      <c r="G66" s="31">
        <f t="shared" si="4"/>
        <v>0.23628492719401806</v>
      </c>
      <c r="H66" s="31" t="str">
        <f>VLOOKUP(C66,'Maestro de Productos'!$G:$H,2,0)</f>
        <v>4x750</v>
      </c>
      <c r="I66" s="31"/>
      <c r="J66" s="10">
        <f t="shared" ref="J66:J97" si="8">E66*0.99</f>
        <v>3950.1</v>
      </c>
      <c r="K66" s="31">
        <f t="shared" ref="K66:K129" si="9">IFERROR(1-D66/J66,0)</f>
        <v>0.22857063352931117</v>
      </c>
    </row>
    <row r="67" spans="1:14" ht="13" x14ac:dyDescent="0.3">
      <c r="A67" s="5" t="s">
        <v>10</v>
      </c>
      <c r="B67" s="5" t="s">
        <v>665</v>
      </c>
      <c r="C67" s="4" t="s">
        <v>114</v>
      </c>
      <c r="D67" s="12">
        <v>1035.8900000000001</v>
      </c>
      <c r="E67" s="9">
        <v>1350</v>
      </c>
      <c r="F67" s="29">
        <f t="shared" si="7"/>
        <v>0.30322717663072329</v>
      </c>
      <c r="G67" s="31">
        <f t="shared" si="4"/>
        <v>0.23267407407407403</v>
      </c>
      <c r="H67" s="31" t="str">
        <f>VLOOKUP(C67,'Maestro de Productos'!$G:$H,2,0)</f>
        <v>6x750</v>
      </c>
      <c r="I67" s="31"/>
      <c r="J67" s="10">
        <f t="shared" si="8"/>
        <v>1336.5</v>
      </c>
      <c r="K67" s="31">
        <f t="shared" si="9"/>
        <v>0.22492330714552933</v>
      </c>
    </row>
    <row r="68" spans="1:14" ht="13" x14ac:dyDescent="0.3">
      <c r="A68" s="5" t="s">
        <v>10</v>
      </c>
      <c r="B68" s="5" t="s">
        <v>665</v>
      </c>
      <c r="C68" s="6" t="s">
        <v>116</v>
      </c>
      <c r="D68" s="12">
        <v>2127</v>
      </c>
      <c r="E68" s="9">
        <v>2750</v>
      </c>
      <c r="F68" s="29">
        <f t="shared" si="7"/>
        <v>0.2929007992477668</v>
      </c>
      <c r="G68" s="31">
        <f t="shared" ref="G68:G143" si="10">IFERROR(1-D68/E68,0)</f>
        <v>0.22654545454545449</v>
      </c>
      <c r="H68" s="31" t="str">
        <f>VLOOKUP(C68,'Maestro de Productos'!$G:$H,2,0)</f>
        <v>6x750</v>
      </c>
      <c r="I68" s="31"/>
      <c r="J68" s="10">
        <f t="shared" si="8"/>
        <v>2722.5</v>
      </c>
      <c r="K68" s="31">
        <f t="shared" si="9"/>
        <v>0.21873278236914595</v>
      </c>
    </row>
    <row r="69" spans="1:14" ht="13" x14ac:dyDescent="0.3">
      <c r="A69" s="5" t="s">
        <v>10</v>
      </c>
      <c r="B69" s="5" t="s">
        <v>665</v>
      </c>
      <c r="C69" s="6" t="s">
        <v>118</v>
      </c>
      <c r="D69" s="12">
        <v>2932.8</v>
      </c>
      <c r="E69" s="9">
        <v>3890</v>
      </c>
      <c r="F69" s="29">
        <f t="shared" si="7"/>
        <v>0.32637752318603375</v>
      </c>
      <c r="G69" s="31">
        <f t="shared" si="10"/>
        <v>0.2460668380462725</v>
      </c>
      <c r="H69" s="31" t="str">
        <f>VLOOKUP(C69,'Maestro de Productos'!$G:$H,2,0)</f>
        <v>6x750</v>
      </c>
      <c r="I69" s="31"/>
      <c r="J69" s="10">
        <f t="shared" si="8"/>
        <v>3851.1</v>
      </c>
      <c r="K69" s="31">
        <f t="shared" si="9"/>
        <v>0.23845135156189134</v>
      </c>
      <c r="N69" s="10"/>
    </row>
    <row r="70" spans="1:14" ht="13" x14ac:dyDescent="0.3">
      <c r="A70" s="5" t="s">
        <v>10</v>
      </c>
      <c r="B70" s="5" t="s">
        <v>665</v>
      </c>
      <c r="C70" s="6" t="s">
        <v>119</v>
      </c>
      <c r="D70" s="12">
        <v>2932.8</v>
      </c>
      <c r="E70" s="9">
        <v>3890</v>
      </c>
      <c r="F70" s="29">
        <f t="shared" si="7"/>
        <v>0.32637752318603375</v>
      </c>
      <c r="G70" s="31">
        <f t="shared" si="10"/>
        <v>0.2460668380462725</v>
      </c>
      <c r="H70" s="31" t="str">
        <f>VLOOKUP(C70,'Maestro de Productos'!$G:$H,2,0)</f>
        <v>6x750</v>
      </c>
      <c r="I70" s="31"/>
      <c r="J70" s="10">
        <f t="shared" si="8"/>
        <v>3851.1</v>
      </c>
      <c r="K70" s="31">
        <f t="shared" si="9"/>
        <v>0.23845135156189134</v>
      </c>
    </row>
    <row r="71" spans="1:14" ht="13" x14ac:dyDescent="0.3">
      <c r="A71" s="5" t="s">
        <v>10</v>
      </c>
      <c r="B71" s="5" t="s">
        <v>665</v>
      </c>
      <c r="C71" s="6" t="s">
        <v>122</v>
      </c>
      <c r="D71" s="12">
        <v>1450.9259999999997</v>
      </c>
      <c r="E71" s="9">
        <v>1890</v>
      </c>
      <c r="F71" s="29">
        <f t="shared" si="7"/>
        <v>0.30261639807957152</v>
      </c>
      <c r="G71" s="31">
        <f t="shared" si="10"/>
        <v>0.23231428571428592</v>
      </c>
      <c r="H71" s="31" t="str">
        <f>VLOOKUP(C71,'Maestro de Productos'!$G:$H,2,0)</f>
        <v>4x750</v>
      </c>
      <c r="I71" s="31"/>
      <c r="J71" s="10">
        <f t="shared" si="8"/>
        <v>1871.1</v>
      </c>
      <c r="K71" s="31">
        <f t="shared" si="9"/>
        <v>0.22455988455988463</v>
      </c>
    </row>
    <row r="72" spans="1:14" ht="13" x14ac:dyDescent="0.3">
      <c r="A72" s="5" t="s">
        <v>10</v>
      </c>
      <c r="B72" s="5" t="s">
        <v>665</v>
      </c>
      <c r="C72" s="6" t="s">
        <v>123</v>
      </c>
      <c r="D72" s="12">
        <v>1450.9259999999997</v>
      </c>
      <c r="E72" s="9">
        <v>1890</v>
      </c>
      <c r="F72" s="29">
        <f t="shared" si="7"/>
        <v>0.30261639807957152</v>
      </c>
      <c r="G72" s="31">
        <f t="shared" si="10"/>
        <v>0.23231428571428592</v>
      </c>
      <c r="H72" s="31" t="e">
        <f>VLOOKUP(C72,'Maestro de Productos'!$G:$H,2,0)</f>
        <v>#N/A</v>
      </c>
      <c r="I72" s="31"/>
      <c r="J72" s="10">
        <f t="shared" si="8"/>
        <v>1871.1</v>
      </c>
      <c r="K72" s="31">
        <f t="shared" si="9"/>
        <v>0.22455988455988463</v>
      </c>
    </row>
    <row r="73" spans="1:14" ht="13" x14ac:dyDescent="0.3">
      <c r="A73" s="5" t="s">
        <v>10</v>
      </c>
      <c r="B73" s="5" t="s">
        <v>665</v>
      </c>
      <c r="C73" s="6" t="s">
        <v>124</v>
      </c>
      <c r="D73" s="12">
        <v>1450.9259999999997</v>
      </c>
      <c r="E73" s="9">
        <v>1890</v>
      </c>
      <c r="F73" s="29">
        <f t="shared" si="7"/>
        <v>0.30261639807957152</v>
      </c>
      <c r="G73" s="31">
        <f t="shared" si="10"/>
        <v>0.23231428571428592</v>
      </c>
      <c r="H73" s="31" t="e">
        <f>VLOOKUP(C73,'Maestro de Productos'!$G:$H,2,0)</f>
        <v>#N/A</v>
      </c>
      <c r="I73" s="31"/>
      <c r="J73" s="10">
        <f t="shared" si="8"/>
        <v>1871.1</v>
      </c>
      <c r="K73" s="31">
        <f t="shared" si="9"/>
        <v>0.22455988455988463</v>
      </c>
    </row>
    <row r="74" spans="1:14" ht="13" x14ac:dyDescent="0.3">
      <c r="A74" s="5" t="s">
        <v>10</v>
      </c>
      <c r="B74" s="5" t="s">
        <v>665</v>
      </c>
      <c r="C74" s="6" t="s">
        <v>127</v>
      </c>
      <c r="D74" s="12">
        <v>914.09</v>
      </c>
      <c r="E74" s="9">
        <v>1190</v>
      </c>
      <c r="F74" s="29">
        <f t="shared" si="7"/>
        <v>0.30184117537660393</v>
      </c>
      <c r="G74" s="31">
        <f t="shared" si="10"/>
        <v>0.23185714285714287</v>
      </c>
      <c r="H74" s="31" t="str">
        <f>VLOOKUP(C74,'Maestro de Productos'!$G:$H,2,0)</f>
        <v>6x750</v>
      </c>
      <c r="I74" s="31"/>
      <c r="J74" s="10">
        <f t="shared" si="8"/>
        <v>1178.0999999999999</v>
      </c>
      <c r="K74" s="31">
        <f t="shared" si="9"/>
        <v>0.22409812409812402</v>
      </c>
    </row>
    <row r="75" spans="1:14" ht="13" x14ac:dyDescent="0.3">
      <c r="A75" s="5" t="s">
        <v>10</v>
      </c>
      <c r="B75" s="5" t="s">
        <v>665</v>
      </c>
      <c r="C75" s="6" t="s">
        <v>128</v>
      </c>
      <c r="D75" s="12">
        <v>914.09</v>
      </c>
      <c r="E75" s="9">
        <v>1190</v>
      </c>
      <c r="F75" s="29">
        <f t="shared" si="7"/>
        <v>0.30184117537660393</v>
      </c>
      <c r="G75" s="31">
        <f t="shared" si="10"/>
        <v>0.23185714285714287</v>
      </c>
      <c r="H75" s="31" t="str">
        <f>VLOOKUP(C75,'Maestro de Productos'!$G:$H,2,0)</f>
        <v>6x750</v>
      </c>
      <c r="I75" s="31"/>
      <c r="J75" s="10">
        <f t="shared" si="8"/>
        <v>1178.0999999999999</v>
      </c>
      <c r="K75" s="31">
        <f t="shared" si="9"/>
        <v>0.22409812409812402</v>
      </c>
    </row>
    <row r="76" spans="1:14" ht="13" x14ac:dyDescent="0.3">
      <c r="A76" s="5" t="s">
        <v>10</v>
      </c>
      <c r="B76" s="5" t="s">
        <v>665</v>
      </c>
      <c r="C76" s="6" t="s">
        <v>129</v>
      </c>
      <c r="D76" s="12">
        <v>914.09</v>
      </c>
      <c r="E76" s="9">
        <v>1190</v>
      </c>
      <c r="F76" s="29">
        <f t="shared" si="7"/>
        <v>0.30184117537660393</v>
      </c>
      <c r="G76" s="31">
        <f t="shared" si="10"/>
        <v>0.23185714285714287</v>
      </c>
      <c r="H76" s="31" t="str">
        <f>VLOOKUP(C76,'Maestro de Productos'!$G:$H,2,0)</f>
        <v>6x750</v>
      </c>
      <c r="I76" s="31"/>
      <c r="J76" s="10">
        <f t="shared" si="8"/>
        <v>1178.0999999999999</v>
      </c>
      <c r="K76" s="31">
        <f t="shared" si="9"/>
        <v>0.22409812409812402</v>
      </c>
    </row>
    <row r="77" spans="1:14" ht="13" x14ac:dyDescent="0.3">
      <c r="A77" s="5" t="s">
        <v>10</v>
      </c>
      <c r="B77" s="5" t="s">
        <v>665</v>
      </c>
      <c r="C77" s="6" t="s">
        <v>131</v>
      </c>
      <c r="D77" s="12">
        <v>914.09</v>
      </c>
      <c r="E77" s="9">
        <v>1190</v>
      </c>
      <c r="F77" s="29">
        <f t="shared" si="7"/>
        <v>0.30184117537660393</v>
      </c>
      <c r="G77" s="31">
        <f t="shared" si="10"/>
        <v>0.23185714285714287</v>
      </c>
      <c r="H77" s="31" t="str">
        <f>VLOOKUP(C77,'Maestro de Productos'!$G:$H,2,0)</f>
        <v>6x750</v>
      </c>
      <c r="I77" s="31"/>
      <c r="J77" s="10">
        <f t="shared" si="8"/>
        <v>1178.0999999999999</v>
      </c>
      <c r="K77" s="31">
        <f t="shared" si="9"/>
        <v>0.22409812409812402</v>
      </c>
    </row>
    <row r="78" spans="1:14" ht="13" x14ac:dyDescent="0.3">
      <c r="A78" s="5" t="s">
        <v>10</v>
      </c>
      <c r="B78" s="5" t="s">
        <v>665</v>
      </c>
      <c r="C78" s="6" t="s">
        <v>133</v>
      </c>
      <c r="D78" s="12">
        <v>1631.98</v>
      </c>
      <c r="E78" s="9">
        <v>2090</v>
      </c>
      <c r="F78" s="29">
        <f t="shared" si="7"/>
        <v>0.28065294917829875</v>
      </c>
      <c r="G78" s="31">
        <f t="shared" si="10"/>
        <v>0.21914832535885165</v>
      </c>
      <c r="H78" s="31" t="str">
        <f>VLOOKUP(C78,'Maestro de Productos'!$G:$H,2,0)</f>
        <v>6x750</v>
      </c>
      <c r="I78" s="31"/>
      <c r="J78" s="10">
        <f t="shared" si="8"/>
        <v>2069.1</v>
      </c>
      <c r="K78" s="31">
        <f t="shared" si="9"/>
        <v>0.21126093470591079</v>
      </c>
    </row>
    <row r="79" spans="1:14" ht="13" x14ac:dyDescent="0.3">
      <c r="A79" s="5" t="s">
        <v>10</v>
      </c>
      <c r="B79" s="5" t="s">
        <v>665</v>
      </c>
      <c r="C79" s="6" t="s">
        <v>135</v>
      </c>
      <c r="D79" s="12">
        <v>1387.2</v>
      </c>
      <c r="E79" s="9">
        <v>1850</v>
      </c>
      <c r="F79" s="29">
        <f t="shared" si="7"/>
        <v>0.33362168396770464</v>
      </c>
      <c r="G79" s="31">
        <f t="shared" si="10"/>
        <v>0.25016216216216214</v>
      </c>
      <c r="H79" s="31" t="e">
        <f>VLOOKUP(C79,'Maestro de Productos'!$G:$H,2,0)</f>
        <v>#N/A</v>
      </c>
      <c r="I79" s="31"/>
      <c r="J79" s="10">
        <f t="shared" si="8"/>
        <v>1831.5</v>
      </c>
      <c r="K79" s="31">
        <f t="shared" si="9"/>
        <v>0.24258804258804256</v>
      </c>
    </row>
    <row r="80" spans="1:14" ht="13" x14ac:dyDescent="0.3">
      <c r="A80" s="5" t="s">
        <v>10</v>
      </c>
      <c r="B80" s="5" t="s">
        <v>665</v>
      </c>
      <c r="C80" s="4" t="s">
        <v>136</v>
      </c>
      <c r="D80" s="12">
        <v>1387.2</v>
      </c>
      <c r="E80" s="9">
        <v>1850</v>
      </c>
      <c r="F80" s="29">
        <f t="shared" si="7"/>
        <v>0.33362168396770464</v>
      </c>
      <c r="G80" s="31">
        <f t="shared" si="10"/>
        <v>0.25016216216216214</v>
      </c>
      <c r="H80" s="31" t="str">
        <f>VLOOKUP(C80,'Maestro de Productos'!$G:$H,2,0)</f>
        <v>6x750</v>
      </c>
      <c r="I80" s="31"/>
      <c r="J80" s="10">
        <f t="shared" si="8"/>
        <v>1831.5</v>
      </c>
      <c r="K80" s="31">
        <f t="shared" si="9"/>
        <v>0.24258804258804256</v>
      </c>
    </row>
    <row r="81" spans="1:11" ht="13" x14ac:dyDescent="0.3">
      <c r="A81" s="5" t="s">
        <v>10</v>
      </c>
      <c r="B81" s="5" t="s">
        <v>665</v>
      </c>
      <c r="C81" s="6" t="s">
        <v>137</v>
      </c>
      <c r="D81" s="12">
        <v>1387.2</v>
      </c>
      <c r="E81" s="9">
        <v>1850</v>
      </c>
      <c r="F81" s="29">
        <f t="shared" si="7"/>
        <v>0.33362168396770464</v>
      </c>
      <c r="G81" s="31">
        <f t="shared" si="10"/>
        <v>0.25016216216216214</v>
      </c>
      <c r="H81" s="31" t="e">
        <f>VLOOKUP(C81,'Maestro de Productos'!$G:$H,2,0)</f>
        <v>#N/A</v>
      </c>
      <c r="I81" s="31"/>
      <c r="J81" s="10">
        <f t="shared" si="8"/>
        <v>1831.5</v>
      </c>
      <c r="K81" s="31">
        <f t="shared" si="9"/>
        <v>0.24258804258804256</v>
      </c>
    </row>
    <row r="82" spans="1:11" ht="13" x14ac:dyDescent="0.3">
      <c r="A82" s="5" t="s">
        <v>10</v>
      </c>
      <c r="B82" s="5" t="s">
        <v>665</v>
      </c>
      <c r="C82" s="6" t="s">
        <v>138</v>
      </c>
      <c r="D82" s="12">
        <v>1387.2</v>
      </c>
      <c r="E82" s="9">
        <v>1850</v>
      </c>
      <c r="F82" s="29">
        <f t="shared" si="7"/>
        <v>0.33362168396770464</v>
      </c>
      <c r="G82" s="31">
        <f t="shared" si="10"/>
        <v>0.25016216216216214</v>
      </c>
      <c r="H82" s="31" t="str">
        <f>VLOOKUP(C82,'Maestro de Productos'!$G:$H,2,0)</f>
        <v>6x750</v>
      </c>
      <c r="I82" s="31"/>
      <c r="J82" s="10">
        <f t="shared" si="8"/>
        <v>1831.5</v>
      </c>
      <c r="K82" s="31">
        <f t="shared" si="9"/>
        <v>0.24258804258804256</v>
      </c>
    </row>
    <row r="83" spans="1:11" ht="13" x14ac:dyDescent="0.3">
      <c r="A83" s="5" t="s">
        <v>10</v>
      </c>
      <c r="B83" s="5" t="s">
        <v>665</v>
      </c>
      <c r="C83" s="6" t="s">
        <v>141</v>
      </c>
      <c r="D83" s="12">
        <v>468</v>
      </c>
      <c r="E83" s="9">
        <v>620</v>
      </c>
      <c r="F83" s="29">
        <f t="shared" si="7"/>
        <v>0.32478632478632474</v>
      </c>
      <c r="G83" s="31">
        <f t="shared" si="10"/>
        <v>0.24516129032258061</v>
      </c>
      <c r="H83" s="31" t="e">
        <f>VLOOKUP(C83,'Maestro de Productos'!$G:$H,2,0)</f>
        <v>#N/A</v>
      </c>
      <c r="I83" s="31"/>
      <c r="J83" s="10">
        <f t="shared" si="8"/>
        <v>613.79999999999995</v>
      </c>
      <c r="K83" s="31">
        <f t="shared" si="9"/>
        <v>0.2375366568914955</v>
      </c>
    </row>
    <row r="84" spans="1:11" ht="13" x14ac:dyDescent="0.3">
      <c r="A84" s="5" t="s">
        <v>10</v>
      </c>
      <c r="B84" s="5" t="s">
        <v>665</v>
      </c>
      <c r="C84" s="4" t="s">
        <v>142</v>
      </c>
      <c r="D84" s="12">
        <v>468</v>
      </c>
      <c r="E84" s="9">
        <v>620</v>
      </c>
      <c r="F84" s="29">
        <f t="shared" si="7"/>
        <v>0.32478632478632474</v>
      </c>
      <c r="G84" s="31">
        <f t="shared" si="10"/>
        <v>0.24516129032258061</v>
      </c>
      <c r="H84" s="31" t="e">
        <f>VLOOKUP(C84,'Maestro de Productos'!$G:$H,2,0)</f>
        <v>#N/A</v>
      </c>
      <c r="I84" s="31"/>
      <c r="J84" s="10">
        <f t="shared" si="8"/>
        <v>613.79999999999995</v>
      </c>
      <c r="K84" s="31">
        <f t="shared" si="9"/>
        <v>0.2375366568914955</v>
      </c>
    </row>
    <row r="85" spans="1:11" ht="13" x14ac:dyDescent="0.3">
      <c r="A85" s="5" t="s">
        <v>10</v>
      </c>
      <c r="B85" s="5" t="s">
        <v>665</v>
      </c>
      <c r="C85" s="6" t="s">
        <v>143</v>
      </c>
      <c r="D85" s="12">
        <v>468</v>
      </c>
      <c r="E85" s="9">
        <v>620</v>
      </c>
      <c r="F85" s="29">
        <f t="shared" si="7"/>
        <v>0.32478632478632474</v>
      </c>
      <c r="G85" s="31">
        <f t="shared" si="10"/>
        <v>0.24516129032258061</v>
      </c>
      <c r="H85" s="31" t="str">
        <f>VLOOKUP(C85,'Maestro de Productos'!$G:$H,2,0)</f>
        <v>6x750</v>
      </c>
      <c r="I85" s="31"/>
      <c r="J85" s="10">
        <f t="shared" si="8"/>
        <v>613.79999999999995</v>
      </c>
      <c r="K85" s="31">
        <f t="shared" si="9"/>
        <v>0.2375366568914955</v>
      </c>
    </row>
    <row r="86" spans="1:11" ht="13" x14ac:dyDescent="0.3">
      <c r="A86" s="5" t="s">
        <v>10</v>
      </c>
      <c r="B86" s="5" t="s">
        <v>665</v>
      </c>
      <c r="C86" s="6" t="s">
        <v>145</v>
      </c>
      <c r="D86" s="12">
        <v>1044</v>
      </c>
      <c r="E86" s="9">
        <v>1390</v>
      </c>
      <c r="F86" s="29">
        <f t="shared" si="7"/>
        <v>0.33141762452107271</v>
      </c>
      <c r="G86" s="31">
        <f t="shared" si="10"/>
        <v>0.24892086330935248</v>
      </c>
      <c r="H86" s="31" t="str">
        <f>VLOOKUP(C86,'Maestro de Productos'!$G:$H,2,0)</f>
        <v>6x750</v>
      </c>
      <c r="I86" s="31"/>
      <c r="J86" s="10">
        <f t="shared" si="8"/>
        <v>1376.1</v>
      </c>
      <c r="K86" s="31">
        <f t="shared" si="9"/>
        <v>0.24133420536298233</v>
      </c>
    </row>
    <row r="87" spans="1:11" ht="13" x14ac:dyDescent="0.3">
      <c r="A87" s="5" t="s">
        <v>10</v>
      </c>
      <c r="B87" s="5" t="s">
        <v>665</v>
      </c>
      <c r="C87" s="6" t="s">
        <v>147</v>
      </c>
      <c r="D87" s="12">
        <v>972</v>
      </c>
      <c r="E87" s="9">
        <v>1290</v>
      </c>
      <c r="F87" s="29">
        <f t="shared" si="7"/>
        <v>0.32716049382716039</v>
      </c>
      <c r="G87" s="31">
        <f t="shared" si="10"/>
        <v>0.24651162790697678</v>
      </c>
      <c r="H87" s="31" t="str">
        <f>VLOOKUP(C87,'Maestro de Productos'!$G:$H,2,0)</f>
        <v>6x750</v>
      </c>
      <c r="I87" s="31"/>
      <c r="J87" s="10">
        <f t="shared" si="8"/>
        <v>1277.0999999999999</v>
      </c>
      <c r="K87" s="31">
        <f t="shared" si="9"/>
        <v>0.23890063424947139</v>
      </c>
    </row>
    <row r="88" spans="1:11" ht="13" x14ac:dyDescent="0.3">
      <c r="A88" s="5" t="s">
        <v>10</v>
      </c>
      <c r="B88" s="5" t="s">
        <v>665</v>
      </c>
      <c r="C88" s="6" t="s">
        <v>148</v>
      </c>
      <c r="D88" s="12">
        <v>1584</v>
      </c>
      <c r="E88" s="9">
        <v>2090</v>
      </c>
      <c r="F88" s="29">
        <f t="shared" si="7"/>
        <v>0.31944444444444442</v>
      </c>
      <c r="G88" s="31">
        <f t="shared" si="10"/>
        <v>0.24210526315789471</v>
      </c>
      <c r="H88" s="31" t="str">
        <f>VLOOKUP(C88,'Maestro de Productos'!$G:$H,2,0)</f>
        <v>6x750</v>
      </c>
      <c r="I88" s="31"/>
      <c r="J88" s="10">
        <f t="shared" si="8"/>
        <v>2069.1</v>
      </c>
      <c r="K88" s="31">
        <f t="shared" si="9"/>
        <v>0.23444976076555024</v>
      </c>
    </row>
    <row r="89" spans="1:11" ht="13" x14ac:dyDescent="0.3">
      <c r="A89" s="5" t="s">
        <v>10</v>
      </c>
      <c r="B89" s="5" t="s">
        <v>666</v>
      </c>
      <c r="C89" s="6" t="s">
        <v>151</v>
      </c>
      <c r="D89" s="12">
        <v>417.6</v>
      </c>
      <c r="E89" s="9">
        <v>550</v>
      </c>
      <c r="F89" s="29">
        <f t="shared" si="7"/>
        <v>0.31704980842911867</v>
      </c>
      <c r="G89" s="31">
        <f t="shared" si="10"/>
        <v>0.24072727272727268</v>
      </c>
      <c r="H89" s="31" t="str">
        <f>VLOOKUP(C89,'Maestro de Productos'!$G:$H,2,0)</f>
        <v>6x750</v>
      </c>
      <c r="I89" s="31"/>
      <c r="J89" s="10">
        <f t="shared" si="8"/>
        <v>544.5</v>
      </c>
      <c r="K89" s="31">
        <f t="shared" si="9"/>
        <v>0.23305785123966938</v>
      </c>
    </row>
    <row r="90" spans="1:11" ht="13" x14ac:dyDescent="0.3">
      <c r="A90" s="5" t="s">
        <v>10</v>
      </c>
      <c r="B90" s="5" t="s">
        <v>665</v>
      </c>
      <c r="C90" s="6" t="s">
        <v>152</v>
      </c>
      <c r="D90" s="12">
        <v>417.6</v>
      </c>
      <c r="E90" s="9">
        <v>550</v>
      </c>
      <c r="F90" s="29">
        <f t="shared" si="7"/>
        <v>0.31704980842911867</v>
      </c>
      <c r="G90" s="31">
        <f t="shared" si="10"/>
        <v>0.24072727272727268</v>
      </c>
      <c r="H90" s="31" t="str">
        <f>VLOOKUP(C90,'Maestro de Productos'!$G:$H,2,0)</f>
        <v>6x750</v>
      </c>
      <c r="I90" s="31"/>
      <c r="J90" s="10">
        <f t="shared" si="8"/>
        <v>544.5</v>
      </c>
      <c r="K90" s="31">
        <f t="shared" si="9"/>
        <v>0.23305785123966938</v>
      </c>
    </row>
    <row r="91" spans="1:11" ht="13" x14ac:dyDescent="0.3">
      <c r="A91" s="5" t="s">
        <v>10</v>
      </c>
      <c r="B91" s="5" t="s">
        <v>665</v>
      </c>
      <c r="C91" s="6" t="s">
        <v>154</v>
      </c>
      <c r="D91" s="12">
        <v>730.8</v>
      </c>
      <c r="E91" s="9">
        <v>950</v>
      </c>
      <c r="F91" s="29">
        <f t="shared" si="7"/>
        <v>0.29994526546250699</v>
      </c>
      <c r="G91" s="31">
        <f t="shared" si="10"/>
        <v>0.23073684210526324</v>
      </c>
      <c r="H91" s="31" t="e">
        <f>VLOOKUP(C91,'Maestro de Productos'!$G:$H,2,0)</f>
        <v>#N/A</v>
      </c>
      <c r="I91" s="31"/>
      <c r="J91" s="10">
        <f t="shared" si="8"/>
        <v>940.5</v>
      </c>
      <c r="K91" s="31">
        <f t="shared" si="9"/>
        <v>0.22296650717703359</v>
      </c>
    </row>
    <row r="92" spans="1:11" ht="13" x14ac:dyDescent="0.3">
      <c r="A92" s="5" t="s">
        <v>10</v>
      </c>
      <c r="B92" s="5" t="s">
        <v>665</v>
      </c>
      <c r="C92" s="6" t="s">
        <v>155</v>
      </c>
      <c r="D92" s="12">
        <v>730.8</v>
      </c>
      <c r="E92" s="9">
        <v>950</v>
      </c>
      <c r="F92" s="29">
        <f t="shared" si="7"/>
        <v>0.29994526546250699</v>
      </c>
      <c r="G92" s="31">
        <f t="shared" si="10"/>
        <v>0.23073684210526324</v>
      </c>
      <c r="H92" s="31" t="str">
        <f>VLOOKUP(C92,'Maestro de Productos'!$G:$H,2,0)</f>
        <v>6x750</v>
      </c>
      <c r="I92" s="31"/>
      <c r="J92" s="10">
        <f t="shared" si="8"/>
        <v>940.5</v>
      </c>
      <c r="K92" s="31">
        <f t="shared" si="9"/>
        <v>0.22296650717703359</v>
      </c>
    </row>
    <row r="93" spans="1:11" ht="13" x14ac:dyDescent="0.3">
      <c r="A93" s="5" t="s">
        <v>10</v>
      </c>
      <c r="B93" s="5" t="s">
        <v>665</v>
      </c>
      <c r="C93" s="6" t="s">
        <v>158</v>
      </c>
      <c r="D93" s="12">
        <v>797.58</v>
      </c>
      <c r="E93" s="9">
        <v>1050</v>
      </c>
      <c r="F93" s="29">
        <f t="shared" si="7"/>
        <v>0.31648235913638745</v>
      </c>
      <c r="G93" s="31">
        <f t="shared" si="10"/>
        <v>0.24039999999999995</v>
      </c>
      <c r="H93" s="31" t="str">
        <f>VLOOKUP(C93,'Maestro de Productos'!$G:$H,2,0)</f>
        <v>6x750</v>
      </c>
      <c r="I93" s="31"/>
      <c r="J93" s="10">
        <f t="shared" si="8"/>
        <v>1039.5</v>
      </c>
      <c r="K93" s="31">
        <f t="shared" si="9"/>
        <v>0.23272727272727267</v>
      </c>
    </row>
    <row r="94" spans="1:11" ht="13" x14ac:dyDescent="0.3">
      <c r="A94" s="5" t="s">
        <v>10</v>
      </c>
      <c r="B94" s="5" t="s">
        <v>665</v>
      </c>
      <c r="C94" s="6" t="s">
        <v>160</v>
      </c>
      <c r="D94" s="12">
        <v>696.1</v>
      </c>
      <c r="E94" s="9">
        <v>920</v>
      </c>
      <c r="F94" s="29">
        <f t="shared" si="7"/>
        <v>0.32164918833500922</v>
      </c>
      <c r="G94" s="31">
        <f t="shared" si="10"/>
        <v>0.24336956521739128</v>
      </c>
      <c r="H94" s="31" t="str">
        <f>VLOOKUP(C94,'Maestro de Productos'!$G:$H,2,0)</f>
        <v>6x750</v>
      </c>
      <c r="I94" s="31"/>
      <c r="J94" s="10">
        <f t="shared" si="8"/>
        <v>910.8</v>
      </c>
      <c r="K94" s="31">
        <f t="shared" si="9"/>
        <v>0.23572683355292046</v>
      </c>
    </row>
    <row r="95" spans="1:11" ht="13" x14ac:dyDescent="0.3">
      <c r="A95" s="5" t="s">
        <v>10</v>
      </c>
      <c r="B95" s="5" t="s">
        <v>666</v>
      </c>
      <c r="C95" s="6" t="s">
        <v>162</v>
      </c>
      <c r="D95" s="12">
        <v>696.1</v>
      </c>
      <c r="E95" s="9">
        <v>920</v>
      </c>
      <c r="F95" s="29">
        <f t="shared" si="7"/>
        <v>0.32164918833500922</v>
      </c>
      <c r="G95" s="31">
        <f t="shared" si="10"/>
        <v>0.24336956521739128</v>
      </c>
      <c r="H95" s="31" t="str">
        <f>VLOOKUP(C95,'Maestro de Productos'!$G:$H,2,0)</f>
        <v>6x750</v>
      </c>
      <c r="I95" s="31"/>
      <c r="J95" s="10">
        <f t="shared" si="8"/>
        <v>910.8</v>
      </c>
      <c r="K95" s="31">
        <f t="shared" si="9"/>
        <v>0.23572683355292046</v>
      </c>
    </row>
    <row r="96" spans="1:11" ht="13" x14ac:dyDescent="0.3">
      <c r="A96" s="5" t="s">
        <v>10</v>
      </c>
      <c r="B96" s="5" t="s">
        <v>665</v>
      </c>
      <c r="C96" s="6" t="s">
        <v>165</v>
      </c>
      <c r="D96" s="8">
        <v>798.66</v>
      </c>
      <c r="E96" s="9">
        <v>1050</v>
      </c>
      <c r="F96" s="29">
        <f t="shared" si="7"/>
        <v>0.31470212606115244</v>
      </c>
      <c r="G96" s="31">
        <f t="shared" si="10"/>
        <v>0.23937142857142857</v>
      </c>
      <c r="H96" s="31" t="str">
        <f>VLOOKUP(C96,'Maestro de Productos'!$G:$H,2,0)</f>
        <v>6x750</v>
      </c>
      <c r="I96" s="31"/>
      <c r="J96" s="10">
        <f t="shared" si="8"/>
        <v>1039.5</v>
      </c>
      <c r="K96" s="31">
        <f t="shared" si="9"/>
        <v>0.23168831168831172</v>
      </c>
    </row>
    <row r="97" spans="1:11" ht="13" x14ac:dyDescent="0.3">
      <c r="A97" s="5" t="s">
        <v>10</v>
      </c>
      <c r="B97" s="5" t="s">
        <v>665</v>
      </c>
      <c r="C97" s="6" t="s">
        <v>166</v>
      </c>
      <c r="D97" s="8">
        <v>798.66</v>
      </c>
      <c r="E97" s="9">
        <v>1050</v>
      </c>
      <c r="F97" s="29">
        <f t="shared" si="7"/>
        <v>0.31470212606115244</v>
      </c>
      <c r="G97" s="31">
        <f t="shared" si="10"/>
        <v>0.23937142857142857</v>
      </c>
      <c r="H97" s="31" t="str">
        <f>VLOOKUP(C97,'Maestro de Productos'!$G:$H,2,0)</f>
        <v>6x750</v>
      </c>
      <c r="I97" s="31"/>
      <c r="J97" s="10">
        <f t="shared" si="8"/>
        <v>1039.5</v>
      </c>
      <c r="K97" s="31">
        <f t="shared" si="9"/>
        <v>0.23168831168831172</v>
      </c>
    </row>
    <row r="98" spans="1:11" ht="13" x14ac:dyDescent="0.3">
      <c r="A98" s="5" t="s">
        <v>10</v>
      </c>
      <c r="B98" s="5" t="s">
        <v>665</v>
      </c>
      <c r="C98" s="6" t="s">
        <v>168</v>
      </c>
      <c r="D98" s="8">
        <v>1109.27</v>
      </c>
      <c r="E98" s="9">
        <v>1450</v>
      </c>
      <c r="F98" s="29">
        <f t="shared" si="7"/>
        <v>0.30716597401894941</v>
      </c>
      <c r="G98" s="31">
        <f t="shared" si="10"/>
        <v>0.2349862068965517</v>
      </c>
      <c r="H98" s="31" t="str">
        <f>VLOOKUP(C98,'Maestro de Productos'!$G:$H,2,0)</f>
        <v>3x750</v>
      </c>
      <c r="I98" s="31"/>
      <c r="J98" s="10">
        <f t="shared" ref="J98:J129" si="11">E98*0.99</f>
        <v>1435.5</v>
      </c>
      <c r="K98" s="31">
        <f t="shared" si="9"/>
        <v>0.22725879484500178</v>
      </c>
    </row>
    <row r="99" spans="1:11" ht="13" x14ac:dyDescent="0.3">
      <c r="A99" s="5" t="s">
        <v>10</v>
      </c>
      <c r="B99" s="5" t="s">
        <v>665</v>
      </c>
      <c r="C99" s="26" t="s">
        <v>668</v>
      </c>
      <c r="D99" s="8">
        <v>2606.66</v>
      </c>
      <c r="E99" s="9">
        <v>3590</v>
      </c>
      <c r="F99" s="29">
        <f t="shared" si="7"/>
        <v>0.37724137401885938</v>
      </c>
      <c r="G99" s="31">
        <f t="shared" si="10"/>
        <v>0.27391086350974936</v>
      </c>
      <c r="H99" s="31" t="str">
        <f>VLOOKUP(C99,'Maestro de Productos'!$G:$H,2,0)</f>
        <v>6x750</v>
      </c>
      <c r="I99" s="31"/>
      <c r="J99" s="10">
        <f t="shared" si="11"/>
        <v>3554.1</v>
      </c>
      <c r="K99" s="31">
        <f t="shared" si="9"/>
        <v>0.26657662980782759</v>
      </c>
    </row>
    <row r="100" spans="1:11" ht="13" x14ac:dyDescent="0.3">
      <c r="A100" s="5" t="s">
        <v>10</v>
      </c>
      <c r="B100" s="5" t="s">
        <v>665</v>
      </c>
      <c r="C100" s="6" t="s">
        <v>170</v>
      </c>
      <c r="D100" s="8">
        <v>726.21</v>
      </c>
      <c r="E100" s="9">
        <v>990</v>
      </c>
      <c r="F100" s="29">
        <f t="shared" si="7"/>
        <v>0.36324203742719052</v>
      </c>
      <c r="G100" s="31">
        <f t="shared" si="10"/>
        <v>0.26645454545454539</v>
      </c>
      <c r="H100" s="31" t="str">
        <f>VLOOKUP(C100,'Maestro de Productos'!$G:$H,2,0)</f>
        <v>6x750</v>
      </c>
      <c r="I100" s="31"/>
      <c r="J100" s="10">
        <f t="shared" si="11"/>
        <v>980.1</v>
      </c>
      <c r="K100" s="31">
        <f t="shared" si="9"/>
        <v>0.2590449954086318</v>
      </c>
    </row>
    <row r="101" spans="1:11" ht="13" x14ac:dyDescent="0.3">
      <c r="A101" s="5" t="s">
        <v>10</v>
      </c>
      <c r="B101" s="5" t="s">
        <v>665</v>
      </c>
      <c r="C101" s="6" t="s">
        <v>174</v>
      </c>
      <c r="D101" s="8">
        <f>867/1.21*0.9</f>
        <v>644.87603305785126</v>
      </c>
      <c r="E101" s="9">
        <v>850</v>
      </c>
      <c r="F101" s="29">
        <f t="shared" si="7"/>
        <v>0.31808278867102402</v>
      </c>
      <c r="G101" s="31">
        <f t="shared" si="10"/>
        <v>0.24132231404958671</v>
      </c>
      <c r="H101" s="31" t="str">
        <f>VLOOKUP(C101,'Maestro de Productos'!$G:$H,2,0)</f>
        <v>6x750</v>
      </c>
      <c r="I101" s="31"/>
      <c r="J101" s="10">
        <f t="shared" si="11"/>
        <v>841.5</v>
      </c>
      <c r="K101" s="31">
        <f t="shared" si="9"/>
        <v>0.23365890308039061</v>
      </c>
    </row>
    <row r="102" spans="1:11" ht="13" x14ac:dyDescent="0.3">
      <c r="A102" s="5" t="s">
        <v>10</v>
      </c>
      <c r="B102" s="5" t="s">
        <v>665</v>
      </c>
      <c r="C102" s="4" t="s">
        <v>175</v>
      </c>
      <c r="D102" s="8">
        <v>1575</v>
      </c>
      <c r="E102" s="9">
        <v>2090</v>
      </c>
      <c r="F102" s="29">
        <f t="shared" si="7"/>
        <v>0.32698412698412693</v>
      </c>
      <c r="G102" s="31">
        <f t="shared" si="10"/>
        <v>0.24641148325358853</v>
      </c>
      <c r="H102" s="31" t="str">
        <f>VLOOKUP(C102,'Maestro de Productos'!$G:$H,2,0)</f>
        <v>6x750</v>
      </c>
      <c r="I102" s="31"/>
      <c r="J102" s="10">
        <f t="shared" si="11"/>
        <v>2069.1</v>
      </c>
      <c r="K102" s="31">
        <f t="shared" si="9"/>
        <v>0.23879947803392776</v>
      </c>
    </row>
    <row r="103" spans="1:11" ht="13" x14ac:dyDescent="0.3">
      <c r="A103" s="5" t="s">
        <v>10</v>
      </c>
      <c r="B103" s="5" t="s">
        <v>665</v>
      </c>
      <c r="C103" s="6" t="s">
        <v>176</v>
      </c>
      <c r="D103" s="8">
        <f>3833/1.21*0.9</f>
        <v>2850.9917355371904</v>
      </c>
      <c r="E103" s="9">
        <v>3690</v>
      </c>
      <c r="F103" s="29">
        <f t="shared" si="7"/>
        <v>0.29428645969214706</v>
      </c>
      <c r="G103" s="31">
        <f t="shared" si="10"/>
        <v>0.22737351340455547</v>
      </c>
      <c r="H103" s="31" t="str">
        <f>VLOOKUP(C103,'Maestro de Productos'!$G:$H,2,0)</f>
        <v>6x750</v>
      </c>
      <c r="I103" s="31"/>
      <c r="J103" s="10">
        <f t="shared" si="11"/>
        <v>3653.1</v>
      </c>
      <c r="K103" s="31">
        <f t="shared" si="9"/>
        <v>0.21956920545914693</v>
      </c>
    </row>
    <row r="104" spans="1:11" ht="13" x14ac:dyDescent="0.3">
      <c r="A104" s="5" t="s">
        <v>10</v>
      </c>
      <c r="B104" s="5" t="s">
        <v>665</v>
      </c>
      <c r="C104" s="6" t="s">
        <v>179</v>
      </c>
      <c r="D104" s="8">
        <v>1265.45</v>
      </c>
      <c r="E104" s="9">
        <v>1590</v>
      </c>
      <c r="F104" s="29">
        <f t="shared" si="7"/>
        <v>0.25647003042395977</v>
      </c>
      <c r="G104" s="31">
        <f t="shared" si="10"/>
        <v>0.20411949685534592</v>
      </c>
      <c r="H104" s="31" t="str">
        <f>VLOOKUP(C104,'Maestro de Productos'!$G:$H,2,0)</f>
        <v>3x750</v>
      </c>
      <c r="I104" s="31"/>
      <c r="J104" s="10">
        <f t="shared" si="11"/>
        <v>1574.1</v>
      </c>
      <c r="K104" s="31">
        <f t="shared" si="9"/>
        <v>0.19608029985388464</v>
      </c>
    </row>
    <row r="105" spans="1:11" ht="13" x14ac:dyDescent="0.3">
      <c r="A105" s="5" t="s">
        <v>10</v>
      </c>
      <c r="B105" s="5" t="s">
        <v>665</v>
      </c>
      <c r="C105" s="6" t="s">
        <v>181</v>
      </c>
      <c r="D105" s="8">
        <v>938.57</v>
      </c>
      <c r="E105" s="9">
        <v>1190</v>
      </c>
      <c r="F105" s="29">
        <f t="shared" si="7"/>
        <v>0.26788625249049081</v>
      </c>
      <c r="G105" s="31">
        <f t="shared" si="10"/>
        <v>0.2112857142857143</v>
      </c>
      <c r="H105" s="31" t="str">
        <f>VLOOKUP(C105,'Maestro de Productos'!$G:$H,2,0)</f>
        <v>3x750</v>
      </c>
      <c r="I105" s="31"/>
      <c r="J105" s="10">
        <f t="shared" si="11"/>
        <v>1178.0999999999999</v>
      </c>
      <c r="K105" s="31">
        <f t="shared" si="9"/>
        <v>0.20331890331890323</v>
      </c>
    </row>
    <row r="106" spans="1:11" ht="13" x14ac:dyDescent="0.3">
      <c r="A106" s="5" t="s">
        <v>10</v>
      </c>
      <c r="B106" s="5" t="s">
        <v>665</v>
      </c>
      <c r="C106" s="6" t="s">
        <v>182</v>
      </c>
      <c r="D106" s="8">
        <v>769.8</v>
      </c>
      <c r="E106" s="9">
        <v>990</v>
      </c>
      <c r="F106" s="29">
        <f t="shared" si="7"/>
        <v>0.28604832424006243</v>
      </c>
      <c r="G106" s="31">
        <f t="shared" si="10"/>
        <v>0.22242424242424252</v>
      </c>
      <c r="H106" s="31" t="str">
        <f>VLOOKUP(C106,'Maestro de Productos'!$G:$H,2,0)</f>
        <v>3x750</v>
      </c>
      <c r="I106" s="31"/>
      <c r="J106" s="10">
        <f t="shared" si="11"/>
        <v>980.1</v>
      </c>
      <c r="K106" s="31">
        <f t="shared" si="9"/>
        <v>0.2145699418426692</v>
      </c>
    </row>
    <row r="107" spans="1:11" ht="13" x14ac:dyDescent="0.3">
      <c r="A107" s="5" t="s">
        <v>10</v>
      </c>
      <c r="B107" s="5" t="s">
        <v>665</v>
      </c>
      <c r="C107" s="6" t="s">
        <v>185</v>
      </c>
      <c r="D107" s="8">
        <f>829*0.85</f>
        <v>704.65</v>
      </c>
      <c r="E107" s="9">
        <v>990</v>
      </c>
      <c r="F107" s="29">
        <f t="shared" si="7"/>
        <v>0.40495281345348766</v>
      </c>
      <c r="G107" s="31">
        <f t="shared" si="10"/>
        <v>0.28823232323232328</v>
      </c>
      <c r="H107" s="31" t="e">
        <f>VLOOKUP(C107,'Maestro de Productos'!$G:$H,2,0)</f>
        <v>#N/A</v>
      </c>
      <c r="I107" s="31"/>
      <c r="J107" s="10">
        <f t="shared" si="11"/>
        <v>980.1</v>
      </c>
      <c r="K107" s="31">
        <f t="shared" si="9"/>
        <v>0.28104275073972051</v>
      </c>
    </row>
    <row r="108" spans="1:11" ht="13" x14ac:dyDescent="0.3">
      <c r="A108" s="5" t="s">
        <v>10</v>
      </c>
      <c r="B108" s="5" t="s">
        <v>665</v>
      </c>
      <c r="C108" s="6" t="s">
        <v>186</v>
      </c>
      <c r="D108" s="8">
        <f>829*0.85</f>
        <v>704.65</v>
      </c>
      <c r="E108" s="9">
        <v>990</v>
      </c>
      <c r="F108" s="29">
        <f t="shared" si="7"/>
        <v>0.40495281345348766</v>
      </c>
      <c r="G108" s="31">
        <f t="shared" si="10"/>
        <v>0.28823232323232328</v>
      </c>
      <c r="H108" s="31" t="e">
        <f>VLOOKUP(C108,'Maestro de Productos'!$G:$H,2,0)</f>
        <v>#N/A</v>
      </c>
      <c r="I108" s="31"/>
      <c r="J108" s="10">
        <f t="shared" si="11"/>
        <v>980.1</v>
      </c>
      <c r="K108" s="31">
        <f t="shared" si="9"/>
        <v>0.28104275073972051</v>
      </c>
    </row>
    <row r="109" spans="1:11" ht="13" x14ac:dyDescent="0.3">
      <c r="A109" s="5" t="s">
        <v>10</v>
      </c>
      <c r="B109" s="5" t="s">
        <v>665</v>
      </c>
      <c r="C109" s="6" t="s">
        <v>187</v>
      </c>
      <c r="D109" s="8">
        <f>829*0.85</f>
        <v>704.65</v>
      </c>
      <c r="E109" s="9">
        <v>990</v>
      </c>
      <c r="F109" s="29">
        <f t="shared" si="7"/>
        <v>0.40495281345348766</v>
      </c>
      <c r="G109" s="31">
        <f t="shared" si="10"/>
        <v>0.28823232323232328</v>
      </c>
      <c r="H109" s="31" t="str">
        <f>VLOOKUP(C109,'Maestro de Productos'!$G:$H,2,0)</f>
        <v>6x750</v>
      </c>
      <c r="I109" s="31"/>
      <c r="J109" s="10">
        <f t="shared" si="11"/>
        <v>980.1</v>
      </c>
      <c r="K109" s="31">
        <f t="shared" si="9"/>
        <v>0.28104275073972051</v>
      </c>
    </row>
    <row r="110" spans="1:11" ht="13" x14ac:dyDescent="0.3">
      <c r="A110" s="5" t="s">
        <v>10</v>
      </c>
      <c r="B110" s="5" t="s">
        <v>665</v>
      </c>
      <c r="C110" s="6" t="s">
        <v>189</v>
      </c>
      <c r="D110" s="8">
        <v>1425</v>
      </c>
      <c r="E110" s="9">
        <v>1890</v>
      </c>
      <c r="F110" s="29">
        <f>E110/D110-1</f>
        <v>0.32631578947368411</v>
      </c>
      <c r="G110" s="31">
        <f t="shared" si="10"/>
        <v>0.24603174603174605</v>
      </c>
      <c r="H110" s="31" t="str">
        <f>VLOOKUP(C110,'Maestro de Productos'!$G:$H,2,0)</f>
        <v>6x750</v>
      </c>
      <c r="I110" s="31"/>
      <c r="J110" s="10">
        <f t="shared" si="11"/>
        <v>1871.1</v>
      </c>
      <c r="K110" s="31">
        <f t="shared" si="9"/>
        <v>0.23841590508257171</v>
      </c>
    </row>
    <row r="111" spans="1:11" ht="13" x14ac:dyDescent="0.3">
      <c r="A111" s="5" t="s">
        <v>10</v>
      </c>
      <c r="B111" s="5" t="s">
        <v>665</v>
      </c>
      <c r="C111" s="6" t="s">
        <v>191</v>
      </c>
      <c r="D111" s="8">
        <v>1425</v>
      </c>
      <c r="E111" s="9">
        <v>1890</v>
      </c>
      <c r="F111" s="29">
        <f t="shared" si="7"/>
        <v>0.32631578947368411</v>
      </c>
      <c r="G111" s="31">
        <f t="shared" si="10"/>
        <v>0.24603174603174605</v>
      </c>
      <c r="H111" s="31" t="str">
        <f>VLOOKUP(C111,'Maestro de Productos'!$G:$H,2,0)</f>
        <v>6x750</v>
      </c>
      <c r="I111" s="31"/>
      <c r="J111" s="10">
        <f t="shared" si="11"/>
        <v>1871.1</v>
      </c>
      <c r="K111" s="31">
        <f t="shared" si="9"/>
        <v>0.23841590508257171</v>
      </c>
    </row>
    <row r="112" spans="1:11" ht="13" x14ac:dyDescent="0.3">
      <c r="A112" s="5" t="s">
        <v>10</v>
      </c>
      <c r="B112" s="5" t="s">
        <v>665</v>
      </c>
      <c r="C112" s="6" t="s">
        <v>193</v>
      </c>
      <c r="D112" s="8">
        <v>1580</v>
      </c>
      <c r="E112" s="9">
        <v>2090</v>
      </c>
      <c r="F112" s="29">
        <f t="shared" si="7"/>
        <v>0.32278481012658222</v>
      </c>
      <c r="G112" s="31">
        <f t="shared" si="10"/>
        <v>0.24401913875598091</v>
      </c>
      <c r="H112" s="31" t="str">
        <f>VLOOKUP(C112,'Maestro de Productos'!$G:$H,2,0)</f>
        <v>6x750</v>
      </c>
      <c r="I112" s="31"/>
      <c r="J112" s="10">
        <f t="shared" si="11"/>
        <v>2069.1</v>
      </c>
      <c r="K112" s="31">
        <f t="shared" si="9"/>
        <v>0.23638296844038464</v>
      </c>
    </row>
    <row r="113" spans="1:11" ht="13" x14ac:dyDescent="0.3">
      <c r="A113" s="5" t="s">
        <v>10</v>
      </c>
      <c r="B113" s="5" t="s">
        <v>665</v>
      </c>
      <c r="C113" s="6" t="s">
        <v>195</v>
      </c>
      <c r="D113" s="8">
        <v>3350</v>
      </c>
      <c r="E113" s="9">
        <v>4590</v>
      </c>
      <c r="F113" s="29">
        <f t="shared" si="7"/>
        <v>0.37014925373134333</v>
      </c>
      <c r="G113" s="31">
        <f t="shared" si="10"/>
        <v>0.27015250544662306</v>
      </c>
      <c r="H113" s="31" t="str">
        <f>VLOOKUP(C113,'Maestro de Productos'!$G:$H,2,0)</f>
        <v>6x750</v>
      </c>
      <c r="I113" s="31"/>
      <c r="J113" s="10">
        <f t="shared" si="11"/>
        <v>4544.1000000000004</v>
      </c>
      <c r="K113" s="31">
        <f t="shared" si="9"/>
        <v>0.26278030853194256</v>
      </c>
    </row>
    <row r="114" spans="1:11" ht="13" x14ac:dyDescent="0.3">
      <c r="A114" s="5" t="s">
        <v>10</v>
      </c>
      <c r="B114" s="5" t="s">
        <v>665</v>
      </c>
      <c r="C114" s="6" t="s">
        <v>197</v>
      </c>
      <c r="D114" s="8">
        <f>4000/6*10/11</f>
        <v>606.06060606060601</v>
      </c>
      <c r="E114" s="9">
        <v>1190</v>
      </c>
      <c r="F114" s="29">
        <f t="shared" si="7"/>
        <v>0.96350000000000025</v>
      </c>
      <c r="G114" s="31">
        <f t="shared" si="10"/>
        <v>0.4907053730583143</v>
      </c>
      <c r="H114" s="31" t="str">
        <f>VLOOKUP(C114,'Maestro de Productos'!$G:$H,2,0)</f>
        <v>6x750</v>
      </c>
      <c r="I114" s="31"/>
      <c r="J114" s="10">
        <f t="shared" si="11"/>
        <v>1178.0999999999999</v>
      </c>
      <c r="K114" s="31">
        <f t="shared" si="9"/>
        <v>0.48556098288718608</v>
      </c>
    </row>
    <row r="115" spans="1:11" ht="13" x14ac:dyDescent="0.3">
      <c r="A115" s="5" t="s">
        <v>10</v>
      </c>
      <c r="B115" s="5" t="s">
        <v>665</v>
      </c>
      <c r="C115" s="4" t="s">
        <v>199</v>
      </c>
      <c r="D115" s="8">
        <v>450.12</v>
      </c>
      <c r="E115" s="9">
        <v>650</v>
      </c>
      <c r="F115" s="29">
        <f t="shared" si="7"/>
        <v>0.44405936194792495</v>
      </c>
      <c r="G115" s="31">
        <f t="shared" si="10"/>
        <v>0.30750769230769226</v>
      </c>
      <c r="H115" s="31" t="str">
        <f>VLOOKUP(C115,'Maestro de Productos'!$G:$H,2,0)</f>
        <v>6x750</v>
      </c>
      <c r="I115" s="31"/>
      <c r="J115" s="10">
        <f t="shared" si="11"/>
        <v>643.5</v>
      </c>
      <c r="K115" s="31">
        <f t="shared" si="9"/>
        <v>0.30051282051282047</v>
      </c>
    </row>
    <row r="116" spans="1:11" ht="13" x14ac:dyDescent="0.3">
      <c r="A116" s="5" t="s">
        <v>10</v>
      </c>
      <c r="B116" s="5" t="s">
        <v>665</v>
      </c>
      <c r="C116" s="4" t="s">
        <v>200</v>
      </c>
      <c r="D116" s="8">
        <v>450.12</v>
      </c>
      <c r="E116" s="9">
        <v>650</v>
      </c>
      <c r="F116" s="29">
        <f t="shared" si="7"/>
        <v>0.44405936194792495</v>
      </c>
      <c r="G116" s="31">
        <f t="shared" si="10"/>
        <v>0.30750769230769226</v>
      </c>
      <c r="H116" s="31" t="e">
        <f>VLOOKUP(C116,'Maestro de Productos'!$G:$H,2,0)</f>
        <v>#N/A</v>
      </c>
      <c r="I116" s="31"/>
      <c r="J116" s="10">
        <f t="shared" si="11"/>
        <v>643.5</v>
      </c>
      <c r="K116" s="31">
        <f t="shared" si="9"/>
        <v>0.30051282051282047</v>
      </c>
    </row>
    <row r="117" spans="1:11" ht="13" x14ac:dyDescent="0.3">
      <c r="A117" s="5" t="s">
        <v>10</v>
      </c>
      <c r="B117" s="5" t="s">
        <v>666</v>
      </c>
      <c r="C117" s="4" t="s">
        <v>201</v>
      </c>
      <c r="D117" s="8">
        <v>450.12</v>
      </c>
      <c r="E117" s="9">
        <v>650</v>
      </c>
      <c r="F117" s="29">
        <f t="shared" si="7"/>
        <v>0.44405936194792495</v>
      </c>
      <c r="G117" s="31">
        <f t="shared" si="10"/>
        <v>0.30750769230769226</v>
      </c>
      <c r="H117" s="31" t="str">
        <f>VLOOKUP(C117,'Maestro de Productos'!$G:$H,2,0)</f>
        <v>6x750</v>
      </c>
      <c r="I117" s="31"/>
      <c r="J117" s="10">
        <f t="shared" si="11"/>
        <v>643.5</v>
      </c>
      <c r="K117" s="31">
        <f t="shared" si="9"/>
        <v>0.30051282051282047</v>
      </c>
    </row>
    <row r="118" spans="1:11" ht="13" x14ac:dyDescent="0.3">
      <c r="A118" s="5" t="s">
        <v>10</v>
      </c>
      <c r="B118" s="5" t="s">
        <v>665</v>
      </c>
      <c r="C118" s="4" t="s">
        <v>203</v>
      </c>
      <c r="D118" s="8">
        <v>1248</v>
      </c>
      <c r="E118" s="9">
        <v>1750</v>
      </c>
      <c r="F118" s="29">
        <f t="shared" si="7"/>
        <v>0.40224358974358965</v>
      </c>
      <c r="G118" s="31">
        <f t="shared" si="10"/>
        <v>0.28685714285714281</v>
      </c>
      <c r="H118" s="31" t="str">
        <f>VLOOKUP(C118,'Maestro de Productos'!$G:$H,2,0)</f>
        <v>6x750</v>
      </c>
      <c r="I118" s="31"/>
      <c r="J118" s="10">
        <f t="shared" si="11"/>
        <v>1732.5</v>
      </c>
      <c r="K118" s="31">
        <f t="shared" si="9"/>
        <v>0.2796536796536796</v>
      </c>
    </row>
    <row r="119" spans="1:11" ht="13" x14ac:dyDescent="0.3">
      <c r="A119" s="5" t="s">
        <v>10</v>
      </c>
      <c r="B119" s="5" t="s">
        <v>665</v>
      </c>
      <c r="C119" s="4" t="s">
        <v>204</v>
      </c>
      <c r="D119" s="8">
        <v>1800</v>
      </c>
      <c r="E119" s="9">
        <v>2490</v>
      </c>
      <c r="F119" s="29">
        <f t="shared" si="7"/>
        <v>0.3833333333333333</v>
      </c>
      <c r="G119" s="31">
        <f t="shared" si="10"/>
        <v>0.27710843373493976</v>
      </c>
      <c r="H119" s="31" t="str">
        <f>VLOOKUP(C119,'Maestro de Productos'!$G:$H,2,0)</f>
        <v>6x750</v>
      </c>
      <c r="I119" s="31"/>
      <c r="J119" s="10">
        <f t="shared" si="11"/>
        <v>2465.1</v>
      </c>
      <c r="K119" s="31">
        <f t="shared" si="9"/>
        <v>0.26980649872216134</v>
      </c>
    </row>
    <row r="120" spans="1:11" ht="13" x14ac:dyDescent="0.3">
      <c r="A120" s="5" t="s">
        <v>10</v>
      </c>
      <c r="B120" s="5" t="s">
        <v>665</v>
      </c>
      <c r="C120" s="6" t="s">
        <v>210</v>
      </c>
      <c r="D120" s="8">
        <f>1210*0.45/1.21*1.28</f>
        <v>576</v>
      </c>
      <c r="E120" s="9">
        <v>890</v>
      </c>
      <c r="F120" s="29">
        <f t="shared" si="7"/>
        <v>0.54513888888888884</v>
      </c>
      <c r="G120" s="31">
        <f t="shared" si="10"/>
        <v>0.35280898876404498</v>
      </c>
      <c r="H120" s="31" t="str">
        <f>VLOOKUP(C120,'Maestro de Productos'!$G:$H,2,0)</f>
        <v>6x750</v>
      </c>
      <c r="I120" s="31"/>
      <c r="J120" s="10">
        <f t="shared" si="11"/>
        <v>881.1</v>
      </c>
      <c r="K120" s="31">
        <f t="shared" si="9"/>
        <v>0.34627170582226763</v>
      </c>
    </row>
    <row r="121" spans="1:11" ht="13" x14ac:dyDescent="0.3">
      <c r="A121" s="5" t="s">
        <v>10</v>
      </c>
      <c r="B121" s="5" t="s">
        <v>665</v>
      </c>
      <c r="C121" s="6" t="s">
        <v>211</v>
      </c>
      <c r="D121" s="8">
        <f>1210*0.45/1.21*1.28</f>
        <v>576</v>
      </c>
      <c r="E121" s="9">
        <v>890</v>
      </c>
      <c r="F121" s="29">
        <f t="shared" si="7"/>
        <v>0.54513888888888884</v>
      </c>
      <c r="G121" s="31">
        <f t="shared" si="10"/>
        <v>0.35280898876404498</v>
      </c>
      <c r="H121" s="31" t="e">
        <f>VLOOKUP(C121,'Maestro de Productos'!$G:$H,2,0)</f>
        <v>#N/A</v>
      </c>
      <c r="I121" s="31"/>
      <c r="J121" s="10">
        <f t="shared" si="11"/>
        <v>881.1</v>
      </c>
      <c r="K121" s="31">
        <f t="shared" si="9"/>
        <v>0.34627170582226763</v>
      </c>
    </row>
    <row r="122" spans="1:11" ht="13" x14ac:dyDescent="0.3">
      <c r="A122" s="5" t="s">
        <v>10</v>
      </c>
      <c r="B122" s="5" t="s">
        <v>665</v>
      </c>
      <c r="C122" s="6" t="s">
        <v>213</v>
      </c>
      <c r="D122" s="8">
        <f>2645*0.45/1.21*1.28</f>
        <v>1259.1074380165289</v>
      </c>
      <c r="E122" s="9">
        <v>1990</v>
      </c>
      <c r="F122" s="29">
        <f t="shared" si="7"/>
        <v>0.58048466708674651</v>
      </c>
      <c r="G122" s="31">
        <f t="shared" si="10"/>
        <v>0.36728269446405581</v>
      </c>
      <c r="H122" s="31" t="str">
        <f>VLOOKUP(C122,'Maestro de Productos'!$G:$H,2,0)</f>
        <v>6x750</v>
      </c>
      <c r="I122" s="31"/>
      <c r="J122" s="10">
        <f t="shared" si="11"/>
        <v>1970.1</v>
      </c>
      <c r="K122" s="31">
        <f t="shared" si="9"/>
        <v>0.36089161056975327</v>
      </c>
    </row>
    <row r="123" spans="1:11" ht="13" x14ac:dyDescent="0.3">
      <c r="A123" s="5" t="s">
        <v>10</v>
      </c>
      <c r="B123" s="5" t="s">
        <v>665</v>
      </c>
      <c r="C123" s="6" t="s">
        <v>215</v>
      </c>
      <c r="D123" s="8">
        <f>3375*0.45/1.21*1.28</f>
        <v>1606.611570247934</v>
      </c>
      <c r="E123" s="9">
        <v>2590</v>
      </c>
      <c r="F123" s="29">
        <f t="shared" si="7"/>
        <v>0.61208847736625516</v>
      </c>
      <c r="G123" s="31">
        <f t="shared" si="10"/>
        <v>0.37968665241392507</v>
      </c>
      <c r="H123" s="31" t="str">
        <f>VLOOKUP(C123,'Maestro de Productos'!$G:$H,2,0)</f>
        <v>6x750</v>
      </c>
      <c r="I123" s="31"/>
      <c r="J123" s="10">
        <f t="shared" si="11"/>
        <v>2564.1</v>
      </c>
      <c r="K123" s="31">
        <f t="shared" si="9"/>
        <v>0.37342086102416672</v>
      </c>
    </row>
    <row r="124" spans="1:11" ht="13" x14ac:dyDescent="0.3">
      <c r="A124" s="5" t="s">
        <v>10</v>
      </c>
      <c r="B124" s="5" t="s">
        <v>665</v>
      </c>
      <c r="C124" s="26" t="s">
        <v>669</v>
      </c>
      <c r="D124" s="8">
        <v>511.11570247933878</v>
      </c>
      <c r="E124" s="9">
        <v>690</v>
      </c>
      <c r="F124" s="29">
        <f t="shared" si="7"/>
        <v>0.34998787290807676</v>
      </c>
      <c r="G124" s="31">
        <f t="shared" si="10"/>
        <v>0.25925260510240755</v>
      </c>
      <c r="H124" s="31" t="str">
        <f>VLOOKUP(C124,'Maestro de Productos'!$G:$H,2,0)</f>
        <v>6x750</v>
      </c>
      <c r="I124" s="31"/>
      <c r="J124" s="10">
        <f t="shared" si="11"/>
        <v>683.1</v>
      </c>
      <c r="K124" s="31">
        <f t="shared" si="9"/>
        <v>0.25177030818425006</v>
      </c>
    </row>
    <row r="125" spans="1:11" ht="13" x14ac:dyDescent="0.3">
      <c r="A125" s="5" t="s">
        <v>10</v>
      </c>
      <c r="B125" s="5" t="s">
        <v>665</v>
      </c>
      <c r="C125" s="26" t="s">
        <v>670</v>
      </c>
      <c r="D125" s="13">
        <v>511.11570247933878</v>
      </c>
      <c r="E125" s="9">
        <v>690</v>
      </c>
      <c r="F125" s="29">
        <f t="shared" si="7"/>
        <v>0.34998787290807676</v>
      </c>
      <c r="G125" s="31">
        <f t="shared" si="10"/>
        <v>0.25925260510240755</v>
      </c>
      <c r="H125" s="31" t="str">
        <f>VLOOKUP(C125,'Maestro de Productos'!$G:$H,2,0)</f>
        <v>6x750</v>
      </c>
      <c r="I125" s="31"/>
      <c r="J125" s="10">
        <f t="shared" si="11"/>
        <v>683.1</v>
      </c>
      <c r="K125" s="31">
        <f t="shared" si="9"/>
        <v>0.25177030818425006</v>
      </c>
    </row>
    <row r="126" spans="1:11" ht="13" x14ac:dyDescent="0.3">
      <c r="A126" s="5" t="s">
        <v>10</v>
      </c>
      <c r="B126" s="5" t="s">
        <v>665</v>
      </c>
      <c r="C126" s="26" t="s">
        <v>671</v>
      </c>
      <c r="D126" s="13">
        <f>431.25/1.21*1.24*0.95</f>
        <v>419.84504132231399</v>
      </c>
      <c r="E126" s="9">
        <v>590</v>
      </c>
      <c r="F126" s="29">
        <f t="shared" si="7"/>
        <v>0.40528038188036741</v>
      </c>
      <c r="G126" s="31">
        <f t="shared" si="10"/>
        <v>0.28839823504692541</v>
      </c>
      <c r="H126" s="31" t="str">
        <f>VLOOKUP(C126,'Maestro de Productos'!$G:$H,2,0)</f>
        <v>6x750</v>
      </c>
      <c r="I126" s="31"/>
      <c r="J126" s="10">
        <f t="shared" si="11"/>
        <v>584.1</v>
      </c>
      <c r="K126" s="31">
        <f t="shared" si="9"/>
        <v>0.28121033843123788</v>
      </c>
    </row>
    <row r="127" spans="1:11" ht="13" x14ac:dyDescent="0.3">
      <c r="A127" s="5" t="s">
        <v>10</v>
      </c>
      <c r="B127" s="5" t="s">
        <v>665</v>
      </c>
      <c r="C127" s="26" t="s">
        <v>672</v>
      </c>
      <c r="D127" s="13">
        <f>431.25/1.21*1.24*0.95</f>
        <v>419.84504132231399</v>
      </c>
      <c r="E127" s="9">
        <v>590</v>
      </c>
      <c r="F127" s="29">
        <f t="shared" si="7"/>
        <v>0.40528038188036741</v>
      </c>
      <c r="G127" s="31">
        <f t="shared" si="10"/>
        <v>0.28839823504692541</v>
      </c>
      <c r="H127" s="31" t="str">
        <f>VLOOKUP(C127,'Maestro de Productos'!$G:$H,2,0)</f>
        <v>6x750</v>
      </c>
      <c r="I127" s="31"/>
      <c r="J127" s="10">
        <f t="shared" si="11"/>
        <v>584.1</v>
      </c>
      <c r="K127" s="31">
        <f t="shared" si="9"/>
        <v>0.28121033843123788</v>
      </c>
    </row>
    <row r="128" spans="1:11" ht="13" x14ac:dyDescent="0.3">
      <c r="A128" s="5" t="s">
        <v>10</v>
      </c>
      <c r="B128" s="5" t="s">
        <v>665</v>
      </c>
      <c r="C128" s="26" t="s">
        <v>673</v>
      </c>
      <c r="D128" s="8">
        <v>1125.6714876033056</v>
      </c>
      <c r="E128" s="9">
        <v>1490</v>
      </c>
      <c r="F128" s="29">
        <f t="shared" si="7"/>
        <v>0.32365438443536942</v>
      </c>
      <c r="G128" s="31">
        <f>IFERROR(1-D128/E128,0)</f>
        <v>0.24451578013200959</v>
      </c>
      <c r="H128" s="31" t="str">
        <f>VLOOKUP(C128,'Maestro de Productos'!$G:$H,2,0)</f>
        <v>6x750</v>
      </c>
      <c r="I128" s="31"/>
      <c r="J128" s="10">
        <f t="shared" si="11"/>
        <v>1475.1</v>
      </c>
      <c r="K128" s="31">
        <f t="shared" si="9"/>
        <v>0.2368846263959693</v>
      </c>
    </row>
    <row r="129" spans="1:11" ht="13" x14ac:dyDescent="0.3">
      <c r="A129" s="5" t="s">
        <v>10</v>
      </c>
      <c r="B129" s="5" t="s">
        <v>665</v>
      </c>
      <c r="C129" s="26" t="s">
        <v>674</v>
      </c>
      <c r="D129" s="8">
        <v>1064.8243801652891</v>
      </c>
      <c r="E129" s="9">
        <v>1390</v>
      </c>
      <c r="F129" s="29">
        <f t="shared" si="7"/>
        <v>0.30537957797720128</v>
      </c>
      <c r="G129" s="31">
        <f>IFERROR(1-D129/E129,0)</f>
        <v>0.23393929484511577</v>
      </c>
      <c r="H129" s="31" t="e">
        <f>VLOOKUP(C129,'Maestro de Productos'!$G:$H,2,0)</f>
        <v>#N/A</v>
      </c>
      <c r="I129" s="31"/>
      <c r="J129" s="10">
        <f t="shared" si="11"/>
        <v>1376.1</v>
      </c>
      <c r="K129" s="31">
        <f t="shared" si="9"/>
        <v>0.22620130792435933</v>
      </c>
    </row>
    <row r="130" spans="1:11" ht="13" x14ac:dyDescent="0.3">
      <c r="A130" s="5" t="s">
        <v>10</v>
      </c>
      <c r="B130" s="5" t="s">
        <v>665</v>
      </c>
      <c r="C130" s="26" t="s">
        <v>675</v>
      </c>
      <c r="D130" s="8">
        <v>1064.8243801652891</v>
      </c>
      <c r="E130" s="9">
        <v>1390</v>
      </c>
      <c r="F130" s="29">
        <f t="shared" si="7"/>
        <v>0.30537957797720128</v>
      </c>
      <c r="G130" s="31">
        <f>IFERROR(1-D130/E130,0)</f>
        <v>0.23393929484511577</v>
      </c>
      <c r="H130" s="31" t="str">
        <f>VLOOKUP(C130,'Maestro de Productos'!$G:$H,2,0)</f>
        <v>6x750</v>
      </c>
      <c r="I130" s="31"/>
      <c r="J130" s="10">
        <f t="shared" ref="J130:J161" si="12">E130*0.99</f>
        <v>1376.1</v>
      </c>
      <c r="K130" s="31">
        <f t="shared" ref="K130:K193" si="13">IFERROR(1-D130/J130,0)</f>
        <v>0.22620130792435933</v>
      </c>
    </row>
    <row r="131" spans="1:11" ht="13" x14ac:dyDescent="0.3">
      <c r="A131" s="5" t="s">
        <v>10</v>
      </c>
      <c r="B131" s="5" t="s">
        <v>665</v>
      </c>
      <c r="C131" s="26" t="s">
        <v>676</v>
      </c>
      <c r="D131" s="8">
        <v>1064.8243801652891</v>
      </c>
      <c r="E131" s="9">
        <v>1390</v>
      </c>
      <c r="F131" s="29">
        <f t="shared" si="7"/>
        <v>0.30537957797720128</v>
      </c>
      <c r="G131" s="31">
        <f>IFERROR(1-D131/E131,0)</f>
        <v>0.23393929484511577</v>
      </c>
      <c r="H131" s="31" t="str">
        <f>VLOOKUP(C131,'Maestro de Productos'!$G:$H,2,0)</f>
        <v>6x750</v>
      </c>
      <c r="I131" s="31"/>
      <c r="J131" s="10">
        <f t="shared" si="12"/>
        <v>1376.1</v>
      </c>
      <c r="K131" s="31">
        <f t="shared" si="13"/>
        <v>0.22620130792435933</v>
      </c>
    </row>
    <row r="132" spans="1:11" ht="13" x14ac:dyDescent="0.3">
      <c r="A132" s="5" t="s">
        <v>10</v>
      </c>
      <c r="B132" s="5" t="s">
        <v>665</v>
      </c>
      <c r="C132" s="26" t="s">
        <v>677</v>
      </c>
      <c r="D132" s="8">
        <v>1064.8243801652891</v>
      </c>
      <c r="E132" s="9">
        <v>1390</v>
      </c>
      <c r="F132" s="29">
        <f t="shared" si="7"/>
        <v>0.30537957797720128</v>
      </c>
      <c r="G132" s="31">
        <f>IFERROR(1-D132/E132,0)</f>
        <v>0.23393929484511577</v>
      </c>
      <c r="H132" s="31" t="str">
        <f>VLOOKUP(C132,'Maestro de Productos'!$G:$H,2,0)</f>
        <v>6x750</v>
      </c>
      <c r="I132" s="31"/>
      <c r="J132" s="10">
        <f t="shared" si="12"/>
        <v>1376.1</v>
      </c>
      <c r="K132" s="31">
        <f t="shared" si="13"/>
        <v>0.22620130792435933</v>
      </c>
    </row>
    <row r="133" spans="1:11" ht="13" x14ac:dyDescent="0.3">
      <c r="A133" s="5" t="s">
        <v>10</v>
      </c>
      <c r="B133" s="5" t="s">
        <v>665</v>
      </c>
      <c r="C133" s="26" t="s">
        <v>678</v>
      </c>
      <c r="D133" s="8">
        <f>812.5/1.21*1.24*0.95</f>
        <v>791.01239669421489</v>
      </c>
      <c r="E133" s="9">
        <v>1050</v>
      </c>
      <c r="F133" s="29">
        <f t="shared" si="7"/>
        <v>0.32741282486613565</v>
      </c>
      <c r="G133" s="31">
        <f t="shared" si="10"/>
        <v>0.24665486029122397</v>
      </c>
      <c r="H133" s="31" t="str">
        <f>VLOOKUP(C133,'Maestro de Productos'!$G:$H,2,0)</f>
        <v>6x750</v>
      </c>
      <c r="I133" s="31"/>
      <c r="J133" s="10">
        <f t="shared" si="12"/>
        <v>1039.5</v>
      </c>
      <c r="K133" s="31">
        <f t="shared" si="13"/>
        <v>0.23904531342547874</v>
      </c>
    </row>
    <row r="134" spans="1:11" ht="13" x14ac:dyDescent="0.3">
      <c r="A134" s="5" t="s">
        <v>10</v>
      </c>
      <c r="B134" s="5" t="s">
        <v>665</v>
      </c>
      <c r="C134" s="26" t="s">
        <v>679</v>
      </c>
      <c r="D134" s="8">
        <v>791.01239669421489</v>
      </c>
      <c r="E134" s="9">
        <v>1050</v>
      </c>
      <c r="F134" s="29">
        <f t="shared" si="7"/>
        <v>0.32741282486613565</v>
      </c>
      <c r="G134" s="31">
        <f>IFERROR(1-D134/E134,0)</f>
        <v>0.24665486029122397</v>
      </c>
      <c r="H134" s="31" t="str">
        <f>VLOOKUP(C134,'Maestro de Productos'!$G:$H,2,0)</f>
        <v>6x750</v>
      </c>
      <c r="I134" s="31"/>
      <c r="J134" s="10">
        <f t="shared" si="12"/>
        <v>1039.5</v>
      </c>
      <c r="K134" s="31">
        <f t="shared" si="13"/>
        <v>0.23904531342547874</v>
      </c>
    </row>
    <row r="135" spans="1:11" ht="13" x14ac:dyDescent="0.3">
      <c r="A135" s="5" t="s">
        <v>10</v>
      </c>
      <c r="B135" s="5" t="s">
        <v>665</v>
      </c>
      <c r="C135" s="26" t="s">
        <v>680</v>
      </c>
      <c r="D135" s="8">
        <f>687.5/1.21*1.24*0.95</f>
        <v>669.31818181818187</v>
      </c>
      <c r="E135" s="9">
        <v>890</v>
      </c>
      <c r="F135" s="29">
        <f t="shared" si="7"/>
        <v>0.32971137521222404</v>
      </c>
      <c r="G135" s="31">
        <f t="shared" si="10"/>
        <v>0.24795709908069452</v>
      </c>
      <c r="H135" s="31" t="str">
        <f>VLOOKUP(C135,'Maestro de Productos'!$G:$H,2,0)</f>
        <v>6x750</v>
      </c>
      <c r="I135" s="31"/>
      <c r="J135" s="10">
        <f t="shared" si="12"/>
        <v>881.1</v>
      </c>
      <c r="K135" s="31">
        <f t="shared" si="13"/>
        <v>0.24036070614211569</v>
      </c>
    </row>
    <row r="136" spans="1:11" ht="13" x14ac:dyDescent="0.3">
      <c r="A136" s="5" t="s">
        <v>10</v>
      </c>
      <c r="B136" s="5" t="s">
        <v>665</v>
      </c>
      <c r="C136" s="26" t="s">
        <v>681</v>
      </c>
      <c r="D136" s="8">
        <f>687.5/1.21*1.24*0.95</f>
        <v>669.31818181818187</v>
      </c>
      <c r="E136" s="9">
        <v>890</v>
      </c>
      <c r="F136" s="29">
        <f t="shared" si="7"/>
        <v>0.32971137521222404</v>
      </c>
      <c r="G136" s="31">
        <f t="shared" si="10"/>
        <v>0.24795709908069452</v>
      </c>
      <c r="H136" s="31" t="str">
        <f>VLOOKUP(C136,'Maestro de Productos'!$G:$H,2,0)</f>
        <v>6x750</v>
      </c>
      <c r="I136" s="31"/>
      <c r="J136" s="10">
        <f t="shared" si="12"/>
        <v>881.1</v>
      </c>
      <c r="K136" s="31">
        <f t="shared" si="13"/>
        <v>0.24036070614211569</v>
      </c>
    </row>
    <row r="137" spans="1:11" ht="13" x14ac:dyDescent="0.3">
      <c r="A137" s="5" t="s">
        <v>10</v>
      </c>
      <c r="B137" s="5" t="s">
        <v>665</v>
      </c>
      <c r="C137" s="26" t="s">
        <v>682</v>
      </c>
      <c r="D137" s="8">
        <f>19375/1.21*1.24*0.95</f>
        <v>18862.603305785124</v>
      </c>
      <c r="E137" s="9">
        <v>27990</v>
      </c>
      <c r="F137" s="29">
        <f t="shared" si="7"/>
        <v>0.48388849334574724</v>
      </c>
      <c r="G137" s="31">
        <f t="shared" si="10"/>
        <v>0.32609491583475803</v>
      </c>
      <c r="H137" s="31" t="str">
        <f>VLOOKUP(C137,'Maestro de Productos'!$G:$H,2,0)</f>
        <v>6x750</v>
      </c>
      <c r="I137" s="31"/>
      <c r="J137" s="10">
        <f t="shared" si="12"/>
        <v>27710.1</v>
      </c>
      <c r="K137" s="31">
        <f t="shared" si="13"/>
        <v>0.31928779377248284</v>
      </c>
    </row>
    <row r="138" spans="1:11" ht="13" x14ac:dyDescent="0.3">
      <c r="A138" s="5" t="s">
        <v>10</v>
      </c>
      <c r="B138" s="5" t="s">
        <v>665</v>
      </c>
      <c r="C138" s="26" t="s">
        <v>683</v>
      </c>
      <c r="D138" s="8">
        <v>3042.3553719008264</v>
      </c>
      <c r="E138" s="9">
        <v>3990</v>
      </c>
      <c r="F138" s="29">
        <f t="shared" si="7"/>
        <v>0.31148387096774188</v>
      </c>
      <c r="G138" s="31">
        <f t="shared" si="10"/>
        <v>0.23750491932310114</v>
      </c>
      <c r="H138" s="31" t="str">
        <f>VLOOKUP(C138,'Maestro de Productos'!$G:$H,2,0)</f>
        <v>6x750</v>
      </c>
      <c r="I138" s="31"/>
      <c r="J138" s="10">
        <f t="shared" si="12"/>
        <v>3950.1</v>
      </c>
      <c r="K138" s="31">
        <f t="shared" si="13"/>
        <v>0.22980294881121321</v>
      </c>
    </row>
    <row r="139" spans="1:11" ht="13" x14ac:dyDescent="0.3">
      <c r="A139" s="5" t="s">
        <v>10</v>
      </c>
      <c r="B139" s="5" t="s">
        <v>665</v>
      </c>
      <c r="C139" s="26" t="s">
        <v>684</v>
      </c>
      <c r="D139" s="8">
        <v>3042.3553719008264</v>
      </c>
      <c r="E139" s="9">
        <v>3990</v>
      </c>
      <c r="F139" s="29">
        <f t="shared" ref="F139:F241" si="14">E139/D139-1</f>
        <v>0.31148387096774188</v>
      </c>
      <c r="G139" s="31">
        <f t="shared" si="10"/>
        <v>0.23750491932310114</v>
      </c>
      <c r="H139" s="31" t="str">
        <f>VLOOKUP(C139,'Maestro de Productos'!$G:$H,2,0)</f>
        <v>6x750</v>
      </c>
      <c r="I139" s="31"/>
      <c r="J139" s="10">
        <f t="shared" si="12"/>
        <v>3950.1</v>
      </c>
      <c r="K139" s="31">
        <f t="shared" si="13"/>
        <v>0.22980294881121321</v>
      </c>
    </row>
    <row r="140" spans="1:11" ht="13" x14ac:dyDescent="0.3">
      <c r="A140" s="5" t="s">
        <v>10</v>
      </c>
      <c r="B140" s="5" t="s">
        <v>665</v>
      </c>
      <c r="C140" s="26" t="s">
        <v>685</v>
      </c>
      <c r="D140" s="8">
        <v>3042.3553719008264</v>
      </c>
      <c r="E140" s="9">
        <v>3990</v>
      </c>
      <c r="F140" s="29">
        <f t="shared" si="14"/>
        <v>0.31148387096774188</v>
      </c>
      <c r="G140" s="31">
        <f t="shared" si="10"/>
        <v>0.23750491932310114</v>
      </c>
      <c r="H140" s="31" t="e">
        <f>VLOOKUP(C140,'Maestro de Productos'!$G:$H,2,0)</f>
        <v>#N/A</v>
      </c>
      <c r="I140" s="31"/>
      <c r="J140" s="10">
        <f t="shared" si="12"/>
        <v>3950.1</v>
      </c>
      <c r="K140" s="31">
        <f t="shared" si="13"/>
        <v>0.22980294881121321</v>
      </c>
    </row>
    <row r="141" spans="1:11" ht="13" x14ac:dyDescent="0.3">
      <c r="A141" s="5" t="s">
        <v>10</v>
      </c>
      <c r="B141" s="5" t="s">
        <v>665</v>
      </c>
      <c r="C141" s="26" t="s">
        <v>686</v>
      </c>
      <c r="D141" s="8">
        <v>3437.8615702479342</v>
      </c>
      <c r="E141" s="9">
        <v>4490</v>
      </c>
      <c r="F141" s="29">
        <f t="shared" si="14"/>
        <v>0.30604444310891399</v>
      </c>
      <c r="G141" s="31">
        <f t="shared" si="10"/>
        <v>0.23432927165970285</v>
      </c>
      <c r="H141" s="31" t="e">
        <f>VLOOKUP(C141,'Maestro de Productos'!$G:$H,2,0)</f>
        <v>#N/A</v>
      </c>
      <c r="I141" s="31"/>
      <c r="J141" s="10">
        <f t="shared" si="12"/>
        <v>4445.1000000000004</v>
      </c>
      <c r="K141" s="31">
        <f t="shared" si="13"/>
        <v>0.2265952238986898</v>
      </c>
    </row>
    <row r="142" spans="1:11" ht="13" x14ac:dyDescent="0.3">
      <c r="A142" s="5" t="s">
        <v>10</v>
      </c>
      <c r="B142" s="5" t="s">
        <v>665</v>
      </c>
      <c r="C142" s="26" t="s">
        <v>687</v>
      </c>
      <c r="D142" s="8">
        <v>3437.8615702479342</v>
      </c>
      <c r="E142" s="9">
        <v>4490</v>
      </c>
      <c r="F142" s="29">
        <f t="shared" si="14"/>
        <v>0.30604444310891399</v>
      </c>
      <c r="G142" s="31">
        <f t="shared" si="10"/>
        <v>0.23432927165970285</v>
      </c>
      <c r="H142" s="31" t="str">
        <f>VLOOKUP(C142,'Maestro de Productos'!$G:$H,2,0)</f>
        <v>6x750</v>
      </c>
      <c r="I142" s="31"/>
      <c r="J142" s="10">
        <f t="shared" si="12"/>
        <v>4445.1000000000004</v>
      </c>
      <c r="K142" s="31">
        <f t="shared" si="13"/>
        <v>0.2265952238986898</v>
      </c>
    </row>
    <row r="143" spans="1:11" ht="13" x14ac:dyDescent="0.3">
      <c r="A143" s="5" t="s">
        <v>10</v>
      </c>
      <c r="B143" s="5" t="s">
        <v>665</v>
      </c>
      <c r="C143" s="26" t="s">
        <v>688</v>
      </c>
      <c r="D143" s="8">
        <v>3863.7913223140495</v>
      </c>
      <c r="E143" s="9">
        <v>4990</v>
      </c>
      <c r="F143" s="29">
        <f t="shared" si="14"/>
        <v>0.29147761453417642</v>
      </c>
      <c r="G143" s="31">
        <f t="shared" si="10"/>
        <v>0.22569312178075163</v>
      </c>
      <c r="H143" s="31" t="str">
        <f>VLOOKUP(C143,'Maestro de Productos'!$G:$H,2,0)</f>
        <v>6x750</v>
      </c>
      <c r="I143" s="31"/>
      <c r="J143" s="10">
        <f t="shared" si="12"/>
        <v>4940.1000000000004</v>
      </c>
      <c r="K143" s="31">
        <f t="shared" si="13"/>
        <v>0.21787184018257744</v>
      </c>
    </row>
    <row r="144" spans="1:11" ht="13" x14ac:dyDescent="0.3">
      <c r="A144" s="5" t="s">
        <v>10</v>
      </c>
      <c r="B144" s="5" t="s">
        <v>665</v>
      </c>
      <c r="C144" s="4" t="s">
        <v>219</v>
      </c>
      <c r="D144" s="8">
        <f>1700/2*0.95</f>
        <v>807.5</v>
      </c>
      <c r="E144" s="9">
        <v>1090</v>
      </c>
      <c r="F144" s="29">
        <f t="shared" si="14"/>
        <v>0.34984520123839014</v>
      </c>
      <c r="G144" s="31">
        <f t="shared" ref="G144:G207" si="15">IFERROR(1-D144/E144,0)</f>
        <v>0.25917431192660545</v>
      </c>
      <c r="H144" s="31" t="str">
        <f>VLOOKUP(C144,'Maestro de Productos'!$G:$H,2,0)</f>
        <v>6x750</v>
      </c>
      <c r="I144" s="31"/>
      <c r="J144" s="10">
        <f t="shared" si="12"/>
        <v>1079.0999999999999</v>
      </c>
      <c r="K144" s="31">
        <f t="shared" si="13"/>
        <v>0.25169122416828837</v>
      </c>
    </row>
    <row r="145" spans="1:12" ht="13" x14ac:dyDescent="0.3">
      <c r="A145" s="5" t="s">
        <v>10</v>
      </c>
      <c r="B145" s="5" t="s">
        <v>665</v>
      </c>
      <c r="C145" s="4" t="s">
        <v>220</v>
      </c>
      <c r="D145" s="8">
        <f>1700/2*0.95</f>
        <v>807.5</v>
      </c>
      <c r="E145" s="9">
        <v>1090</v>
      </c>
      <c r="F145" s="29">
        <f t="shared" si="14"/>
        <v>0.34984520123839014</v>
      </c>
      <c r="G145" s="31">
        <f t="shared" si="15"/>
        <v>0.25917431192660545</v>
      </c>
      <c r="H145" s="31" t="e">
        <f>VLOOKUP(C145,'Maestro de Productos'!$G:$H,2,0)</f>
        <v>#N/A</v>
      </c>
      <c r="I145" s="31"/>
      <c r="J145" s="10">
        <f t="shared" si="12"/>
        <v>1079.0999999999999</v>
      </c>
      <c r="K145" s="31">
        <f t="shared" si="13"/>
        <v>0.25169122416828837</v>
      </c>
    </row>
    <row r="146" spans="1:12" ht="13" x14ac:dyDescent="0.3">
      <c r="A146" s="5" t="s">
        <v>10</v>
      </c>
      <c r="B146" s="5" t="s">
        <v>665</v>
      </c>
      <c r="C146" s="4" t="s">
        <v>221</v>
      </c>
      <c r="D146" s="8">
        <f>1700/2*0.95</f>
        <v>807.5</v>
      </c>
      <c r="E146" s="9">
        <v>1090</v>
      </c>
      <c r="F146" s="29">
        <f t="shared" si="14"/>
        <v>0.34984520123839014</v>
      </c>
      <c r="G146" s="31">
        <f t="shared" si="15"/>
        <v>0.25917431192660545</v>
      </c>
      <c r="H146" s="31" t="e">
        <f>VLOOKUP(C146,'Maestro de Productos'!$G:$H,2,0)</f>
        <v>#N/A</v>
      </c>
      <c r="I146" s="31"/>
      <c r="J146" s="10">
        <f t="shared" si="12"/>
        <v>1079.0999999999999</v>
      </c>
      <c r="K146" s="31">
        <f t="shared" si="13"/>
        <v>0.25169122416828837</v>
      </c>
    </row>
    <row r="147" spans="1:12" ht="13" x14ac:dyDescent="0.3">
      <c r="A147" s="5" t="s">
        <v>10</v>
      </c>
      <c r="B147" s="5" t="s">
        <v>665</v>
      </c>
      <c r="C147" s="4" t="s">
        <v>223</v>
      </c>
      <c r="D147" s="8">
        <f>3900*0.55*0.95</f>
        <v>2037.75</v>
      </c>
      <c r="E147" s="9">
        <v>2690</v>
      </c>
      <c r="F147" s="29">
        <f t="shared" si="14"/>
        <v>0.32008342534658318</v>
      </c>
      <c r="G147" s="31">
        <f t="shared" si="15"/>
        <v>0.24247211895910781</v>
      </c>
      <c r="H147" s="31" t="str">
        <f>VLOOKUP(C147,'Maestro de Productos'!$G:$H,2,0)</f>
        <v>6x750</v>
      </c>
      <c r="I147" s="31"/>
      <c r="J147" s="10">
        <f t="shared" si="12"/>
        <v>2663.1</v>
      </c>
      <c r="K147" s="31">
        <f t="shared" si="13"/>
        <v>0.23482032218091697</v>
      </c>
    </row>
    <row r="148" spans="1:12" ht="13" x14ac:dyDescent="0.3">
      <c r="A148" s="5" t="s">
        <v>10</v>
      </c>
      <c r="B148" s="5" t="s">
        <v>665</v>
      </c>
      <c r="C148" s="4" t="s">
        <v>225</v>
      </c>
      <c r="D148" s="8">
        <f>14500*0.55*0.95</f>
        <v>7576.2500000000009</v>
      </c>
      <c r="E148" s="9">
        <v>9990</v>
      </c>
      <c r="F148" s="29">
        <f t="shared" si="14"/>
        <v>0.31859429137106066</v>
      </c>
      <c r="G148" s="31">
        <f t="shared" si="15"/>
        <v>0.24161661661661649</v>
      </c>
      <c r="H148" s="31" t="str">
        <f>VLOOKUP(C148,'Maestro de Productos'!$G:$H,2,0)</f>
        <v>6x750</v>
      </c>
      <c r="I148" s="31"/>
      <c r="J148" s="10">
        <f t="shared" si="12"/>
        <v>9890.1</v>
      </c>
      <c r="K148" s="31">
        <f t="shared" si="13"/>
        <v>0.23395617840062277</v>
      </c>
    </row>
    <row r="149" spans="1:12" ht="13" x14ac:dyDescent="0.3">
      <c r="A149" s="5" t="s">
        <v>10</v>
      </c>
      <c r="B149" s="5" t="s">
        <v>665</v>
      </c>
      <c r="C149" s="4" t="s">
        <v>226</v>
      </c>
      <c r="D149" s="8">
        <f>14500*0.55*0.95</f>
        <v>7576.2500000000009</v>
      </c>
      <c r="E149" s="9">
        <v>9990</v>
      </c>
      <c r="F149" s="29">
        <f t="shared" si="14"/>
        <v>0.31859429137106066</v>
      </c>
      <c r="G149" s="31">
        <f t="shared" si="15"/>
        <v>0.24161661661661649</v>
      </c>
      <c r="H149" s="31" t="str">
        <f>VLOOKUP(C149,'Maestro de Productos'!$G:$H,2,0)</f>
        <v>6x750</v>
      </c>
      <c r="I149" s="31"/>
      <c r="J149" s="10">
        <f t="shared" si="12"/>
        <v>9890.1</v>
      </c>
      <c r="K149" s="31">
        <f t="shared" si="13"/>
        <v>0.23395617840062277</v>
      </c>
    </row>
    <row r="150" spans="1:12" ht="13" x14ac:dyDescent="0.3">
      <c r="A150" s="5" t="s">
        <v>10</v>
      </c>
      <c r="B150" s="5" t="s">
        <v>665</v>
      </c>
      <c r="C150" s="4" t="s">
        <v>227</v>
      </c>
      <c r="D150" s="8">
        <f>14500*0.55*0.95</f>
        <v>7576.2500000000009</v>
      </c>
      <c r="E150" s="9">
        <v>9990</v>
      </c>
      <c r="F150" s="29">
        <f t="shared" si="14"/>
        <v>0.31859429137106066</v>
      </c>
      <c r="G150" s="31">
        <f t="shared" si="15"/>
        <v>0.24161661661661649</v>
      </c>
      <c r="H150" s="31" t="str">
        <f>VLOOKUP(C150,'Maestro de Productos'!$G:$H,2,0)</f>
        <v>6x750</v>
      </c>
      <c r="I150" s="31"/>
      <c r="J150" s="10">
        <f t="shared" si="12"/>
        <v>9890.1</v>
      </c>
      <c r="K150" s="31">
        <f t="shared" si="13"/>
        <v>0.23395617840062277</v>
      </c>
    </row>
    <row r="151" spans="1:12" ht="13" x14ac:dyDescent="0.3">
      <c r="A151" s="5" t="s">
        <v>10</v>
      </c>
      <c r="B151" s="5" t="s">
        <v>665</v>
      </c>
      <c r="C151" s="4" t="s">
        <v>230</v>
      </c>
      <c r="D151" s="8">
        <f>729*0.5*0.9</f>
        <v>328.05</v>
      </c>
      <c r="E151" s="9">
        <v>450</v>
      </c>
      <c r="F151" s="29">
        <f t="shared" si="14"/>
        <v>0.37174211248285327</v>
      </c>
      <c r="G151" s="31">
        <f t="shared" si="15"/>
        <v>0.27100000000000002</v>
      </c>
      <c r="H151" s="31" t="str">
        <f>VLOOKUP(C151,'Maestro de Productos'!$G:$H,2,0)</f>
        <v>6x750</v>
      </c>
      <c r="I151" s="31"/>
      <c r="J151" s="10">
        <f t="shared" si="12"/>
        <v>445.5</v>
      </c>
      <c r="K151" s="31">
        <f t="shared" si="13"/>
        <v>0.26363636363636356</v>
      </c>
    </row>
    <row r="152" spans="1:12" ht="13" x14ac:dyDescent="0.3">
      <c r="A152" s="5" t="s">
        <v>10</v>
      </c>
      <c r="B152" s="5" t="s">
        <v>665</v>
      </c>
      <c r="C152" s="4" t="s">
        <v>231</v>
      </c>
      <c r="D152" s="8">
        <f>923*0.5*0.9</f>
        <v>415.35</v>
      </c>
      <c r="E152" s="9">
        <v>650</v>
      </c>
      <c r="F152" s="29">
        <f t="shared" si="14"/>
        <v>0.56494522691705784</v>
      </c>
      <c r="G152" s="31">
        <f t="shared" si="15"/>
        <v>0.36099999999999999</v>
      </c>
      <c r="H152" s="31" t="str">
        <f>VLOOKUP(C152,'Maestro de Productos'!$G:$H,2,0)</f>
        <v>6x750</v>
      </c>
      <c r="I152" s="31"/>
      <c r="J152" s="10">
        <f t="shared" si="12"/>
        <v>643.5</v>
      </c>
      <c r="K152" s="31">
        <f t="shared" si="13"/>
        <v>0.3545454545454545</v>
      </c>
    </row>
    <row r="153" spans="1:12" ht="13" x14ac:dyDescent="0.3">
      <c r="A153" s="5" t="s">
        <v>10</v>
      </c>
      <c r="B153" s="5" t="s">
        <v>665</v>
      </c>
      <c r="C153" s="4" t="s">
        <v>233</v>
      </c>
      <c r="D153" s="8">
        <f>3407*0.5*0.9</f>
        <v>1533.15</v>
      </c>
      <c r="E153" s="9">
        <v>2190</v>
      </c>
      <c r="F153" s="29">
        <f t="shared" si="14"/>
        <v>0.42843166030721047</v>
      </c>
      <c r="G153" s="31">
        <f t="shared" si="15"/>
        <v>0.29993150684931502</v>
      </c>
      <c r="H153" s="31" t="e">
        <f>VLOOKUP(C153,'Maestro de Productos'!$G:$H,2,0)</f>
        <v>#N/A</v>
      </c>
      <c r="I153" s="31"/>
      <c r="J153" s="10">
        <f t="shared" si="12"/>
        <v>2168.1</v>
      </c>
      <c r="K153" s="31">
        <f t="shared" si="13"/>
        <v>0.29286010792860095</v>
      </c>
    </row>
    <row r="154" spans="1:12" ht="13" x14ac:dyDescent="0.3">
      <c r="A154" s="5" t="s">
        <v>10</v>
      </c>
      <c r="B154" s="5" t="s">
        <v>665</v>
      </c>
      <c r="C154" s="4" t="s">
        <v>235</v>
      </c>
      <c r="D154" s="8">
        <f>3049*0.5*0.9</f>
        <v>1372.05</v>
      </c>
      <c r="E154" s="9">
        <v>1890</v>
      </c>
      <c r="F154" s="29">
        <f t="shared" si="14"/>
        <v>0.3775008199409644</v>
      </c>
      <c r="G154" s="31">
        <f t="shared" si="15"/>
        <v>0.2740476190476191</v>
      </c>
      <c r="H154" s="31" t="str">
        <f>VLOOKUP(C154,'Maestro de Productos'!$G:$H,2,0)</f>
        <v>6x750</v>
      </c>
      <c r="I154" s="31"/>
      <c r="J154" s="10">
        <f t="shared" si="12"/>
        <v>1871.1</v>
      </c>
      <c r="K154" s="31">
        <f t="shared" si="13"/>
        <v>0.26671476671476668</v>
      </c>
      <c r="L154" s="33"/>
    </row>
    <row r="155" spans="1:12" ht="13" x14ac:dyDescent="0.3">
      <c r="A155" s="5" t="s">
        <v>10</v>
      </c>
      <c r="B155" s="5" t="s">
        <v>665</v>
      </c>
      <c r="C155" s="4" t="s">
        <v>236</v>
      </c>
      <c r="D155" s="8">
        <f>4147*0.5*0.9</f>
        <v>1866.15</v>
      </c>
      <c r="E155" s="9">
        <v>2490</v>
      </c>
      <c r="F155" s="29">
        <f t="shared" si="14"/>
        <v>0.33429788602202382</v>
      </c>
      <c r="G155" s="31">
        <f t="shared" si="15"/>
        <v>0.25054216867469881</v>
      </c>
      <c r="H155" s="31" t="str">
        <f>VLOOKUP(C155,'Maestro de Productos'!$G:$H,2,0)</f>
        <v>4x750</v>
      </c>
      <c r="I155" s="31"/>
      <c r="J155" s="10">
        <f t="shared" si="12"/>
        <v>2465.1</v>
      </c>
      <c r="K155" s="31">
        <f t="shared" si="13"/>
        <v>0.24297188755020072</v>
      </c>
    </row>
    <row r="156" spans="1:12" ht="13" x14ac:dyDescent="0.3">
      <c r="A156" s="5" t="s">
        <v>10</v>
      </c>
      <c r="B156" s="5" t="s">
        <v>665</v>
      </c>
      <c r="C156" s="4" t="s">
        <v>238</v>
      </c>
      <c r="D156" s="8">
        <f>1595*0.5*0.9</f>
        <v>717.75</v>
      </c>
      <c r="E156" s="9">
        <v>990</v>
      </c>
      <c r="F156" s="29">
        <f t="shared" si="14"/>
        <v>0.3793103448275863</v>
      </c>
      <c r="G156" s="31">
        <f t="shared" si="15"/>
        <v>0.27500000000000002</v>
      </c>
      <c r="H156" s="31" t="str">
        <f>VLOOKUP(C156,'Maestro de Productos'!$G:$H,2,0)</f>
        <v>6x750</v>
      </c>
      <c r="I156" s="31"/>
      <c r="J156" s="10">
        <f t="shared" si="12"/>
        <v>980.1</v>
      </c>
      <c r="K156" s="31">
        <f t="shared" si="13"/>
        <v>0.26767676767676774</v>
      </c>
    </row>
    <row r="157" spans="1:12" ht="13" x14ac:dyDescent="0.3">
      <c r="A157" s="5" t="s">
        <v>10</v>
      </c>
      <c r="B157" s="5" t="s">
        <v>665</v>
      </c>
      <c r="C157" s="4" t="s">
        <v>239</v>
      </c>
      <c r="D157" s="8">
        <f>2307*0.5*0.9</f>
        <v>1038.1500000000001</v>
      </c>
      <c r="E157" s="9">
        <v>1390</v>
      </c>
      <c r="F157" s="29">
        <f t="shared" si="14"/>
        <v>0.33892019457689138</v>
      </c>
      <c r="G157" s="31">
        <f t="shared" si="15"/>
        <v>0.25312949640287763</v>
      </c>
      <c r="H157" s="31" t="str">
        <f>VLOOKUP(C157,'Maestro de Productos'!$G:$H,2,0)</f>
        <v>6x750</v>
      </c>
      <c r="I157" s="31"/>
      <c r="J157" s="10">
        <f t="shared" si="12"/>
        <v>1376.1</v>
      </c>
      <c r="K157" s="31">
        <f t="shared" si="13"/>
        <v>0.24558534990189651</v>
      </c>
    </row>
    <row r="158" spans="1:12" ht="13" x14ac:dyDescent="0.3">
      <c r="A158" s="5" t="s">
        <v>10</v>
      </c>
      <c r="B158" s="5" t="s">
        <v>665</v>
      </c>
      <c r="C158" s="4" t="s">
        <v>241</v>
      </c>
      <c r="D158" s="8">
        <f>7999*0.5</f>
        <v>3999.5</v>
      </c>
      <c r="E158" s="9">
        <v>5790</v>
      </c>
      <c r="F158" s="29">
        <f t="shared" si="14"/>
        <v>0.4476809601200149</v>
      </c>
      <c r="G158" s="31">
        <f t="shared" si="15"/>
        <v>0.30924006908462864</v>
      </c>
      <c r="H158" s="31" t="str">
        <f>VLOOKUP(C158,'Maestro de Productos'!$G:$H,2,0)</f>
        <v>6x750</v>
      </c>
      <c r="I158" s="31"/>
      <c r="J158" s="10">
        <f t="shared" si="12"/>
        <v>5732.1</v>
      </c>
      <c r="K158" s="31">
        <f t="shared" si="13"/>
        <v>0.30226269604507949</v>
      </c>
    </row>
    <row r="159" spans="1:12" ht="13" x14ac:dyDescent="0.3">
      <c r="A159" s="5" t="s">
        <v>10</v>
      </c>
      <c r="B159" s="5" t="s">
        <v>665</v>
      </c>
      <c r="C159" s="4" t="s">
        <v>242</v>
      </c>
      <c r="D159" s="8">
        <f>9143*0.5</f>
        <v>4571.5</v>
      </c>
      <c r="E159" s="9">
        <v>6590</v>
      </c>
      <c r="F159" s="29">
        <f t="shared" si="14"/>
        <v>0.44153997593787597</v>
      </c>
      <c r="G159" s="31">
        <f t="shared" si="15"/>
        <v>0.30629742033383911</v>
      </c>
      <c r="H159" s="31" t="str">
        <f>VLOOKUP(C159,'Maestro de Productos'!$G:$H,2,0)</f>
        <v>6x750</v>
      </c>
      <c r="I159" s="31"/>
      <c r="J159" s="10">
        <f t="shared" si="12"/>
        <v>6524.1</v>
      </c>
      <c r="K159" s="31">
        <f t="shared" si="13"/>
        <v>0.29929032356953456</v>
      </c>
    </row>
    <row r="160" spans="1:12" ht="13" x14ac:dyDescent="0.3">
      <c r="A160" s="5" t="s">
        <v>10</v>
      </c>
      <c r="B160" s="5" t="s">
        <v>665</v>
      </c>
      <c r="C160" s="4" t="s">
        <v>245</v>
      </c>
      <c r="D160" s="8">
        <v>548</v>
      </c>
      <c r="E160" s="9">
        <v>720</v>
      </c>
      <c r="F160" s="29">
        <f t="shared" si="14"/>
        <v>0.31386861313868608</v>
      </c>
      <c r="G160" s="31">
        <f t="shared" si="15"/>
        <v>0.23888888888888893</v>
      </c>
      <c r="H160" s="31" t="e">
        <f>VLOOKUP(C160,'Maestro de Productos'!$G:$H,2,0)</f>
        <v>#N/A</v>
      </c>
      <c r="I160" s="31"/>
      <c r="J160" s="10">
        <f t="shared" si="12"/>
        <v>712.8</v>
      </c>
      <c r="K160" s="31">
        <f t="shared" si="13"/>
        <v>0.23120089786756448</v>
      </c>
    </row>
    <row r="161" spans="1:11" ht="13" x14ac:dyDescent="0.3">
      <c r="A161" s="5" t="s">
        <v>10</v>
      </c>
      <c r="B161" s="5" t="s">
        <v>665</v>
      </c>
      <c r="C161" s="4" t="s">
        <v>246</v>
      </c>
      <c r="D161" s="8">
        <v>548</v>
      </c>
      <c r="E161" s="9">
        <v>720</v>
      </c>
      <c r="F161" s="29">
        <f t="shared" si="14"/>
        <v>0.31386861313868608</v>
      </c>
      <c r="G161" s="31">
        <f t="shared" si="15"/>
        <v>0.23888888888888893</v>
      </c>
      <c r="H161" s="31" t="str">
        <f>VLOOKUP(C161,'Maestro de Productos'!$G:$H,2,0)</f>
        <v>6x750</v>
      </c>
      <c r="I161" s="31"/>
      <c r="J161" s="10">
        <f t="shared" si="12"/>
        <v>712.8</v>
      </c>
      <c r="K161" s="31">
        <f t="shared" si="13"/>
        <v>0.23120089786756448</v>
      </c>
    </row>
    <row r="162" spans="1:11" ht="13" x14ac:dyDescent="0.3">
      <c r="A162" s="5" t="s">
        <v>10</v>
      </c>
      <c r="B162" s="5" t="s">
        <v>665</v>
      </c>
      <c r="C162" s="4" t="s">
        <v>248</v>
      </c>
      <c r="D162" s="8">
        <v>795</v>
      </c>
      <c r="E162" s="9">
        <v>1050</v>
      </c>
      <c r="F162" s="29">
        <f t="shared" si="14"/>
        <v>0.320754716981132</v>
      </c>
      <c r="G162" s="31">
        <f t="shared" si="15"/>
        <v>0.24285714285714288</v>
      </c>
      <c r="H162" s="31" t="str">
        <f>VLOOKUP(C162,'Maestro de Productos'!$G:$H,2,0)</f>
        <v>6x750</v>
      </c>
      <c r="I162" s="31"/>
      <c r="J162" s="10">
        <f t="shared" ref="J162:J178" si="16">E162*0.99</f>
        <v>1039.5</v>
      </c>
      <c r="K162" s="31">
        <f t="shared" si="13"/>
        <v>0.2352092352092352</v>
      </c>
    </row>
    <row r="163" spans="1:11" ht="13" x14ac:dyDescent="0.3">
      <c r="A163" s="5" t="s">
        <v>10</v>
      </c>
      <c r="B163" s="5" t="s">
        <v>665</v>
      </c>
      <c r="C163" s="4" t="s">
        <v>249</v>
      </c>
      <c r="D163" s="8">
        <v>1059</v>
      </c>
      <c r="E163" s="9">
        <v>1390</v>
      </c>
      <c r="F163" s="29">
        <f t="shared" si="14"/>
        <v>0.31255901794145413</v>
      </c>
      <c r="G163" s="31">
        <f t="shared" si="15"/>
        <v>0.23812949640287773</v>
      </c>
      <c r="H163" s="31" t="str">
        <f>VLOOKUP(C163,'Maestro de Productos'!$G:$H,2,0)</f>
        <v>6x750</v>
      </c>
      <c r="I163" s="31"/>
      <c r="J163" s="10">
        <f t="shared" si="16"/>
        <v>1376.1</v>
      </c>
      <c r="K163" s="31">
        <f t="shared" si="13"/>
        <v>0.23043383475038148</v>
      </c>
    </row>
    <row r="164" spans="1:11" ht="13" x14ac:dyDescent="0.3">
      <c r="A164" s="5" t="s">
        <v>10</v>
      </c>
      <c r="B164" s="5" t="s">
        <v>665</v>
      </c>
      <c r="C164" s="4" t="s">
        <v>251</v>
      </c>
      <c r="D164" s="8">
        <v>2372</v>
      </c>
      <c r="E164" s="9">
        <v>2990</v>
      </c>
      <c r="F164" s="29">
        <f t="shared" si="14"/>
        <v>0.260539629005059</v>
      </c>
      <c r="G164" s="31">
        <f t="shared" si="15"/>
        <v>0.20668896321070229</v>
      </c>
      <c r="H164" s="31" t="str">
        <f>VLOOKUP(C164,'Maestro de Productos'!$G:$H,2,0)</f>
        <v>6x750</v>
      </c>
      <c r="I164" s="31"/>
      <c r="J164" s="10">
        <f t="shared" si="16"/>
        <v>2960.1</v>
      </c>
      <c r="K164" s="31">
        <f t="shared" si="13"/>
        <v>0.19867572041485082</v>
      </c>
    </row>
    <row r="165" spans="1:11" ht="13" x14ac:dyDescent="0.3">
      <c r="A165" s="5" t="s">
        <v>10</v>
      </c>
      <c r="B165" s="5" t="s">
        <v>665</v>
      </c>
      <c r="C165" s="4" t="s">
        <v>254</v>
      </c>
      <c r="D165" s="8">
        <f>800*0.6</f>
        <v>480</v>
      </c>
      <c r="E165" s="9">
        <v>620</v>
      </c>
      <c r="F165" s="29">
        <f t="shared" si="14"/>
        <v>0.29166666666666674</v>
      </c>
      <c r="G165" s="31">
        <f t="shared" si="15"/>
        <v>0.22580645161290325</v>
      </c>
      <c r="H165" s="31" t="str">
        <f>VLOOKUP(C165,'Maestro de Productos'!$G:$H,2,0)</f>
        <v>6x750</v>
      </c>
      <c r="I165" s="31"/>
      <c r="J165" s="10">
        <f t="shared" si="16"/>
        <v>613.79999999999995</v>
      </c>
      <c r="K165" s="31">
        <f t="shared" si="13"/>
        <v>0.21798631476050823</v>
      </c>
    </row>
    <row r="166" spans="1:11" ht="13" x14ac:dyDescent="0.3">
      <c r="A166" s="5" t="s">
        <v>10</v>
      </c>
      <c r="B166" s="5" t="s">
        <v>665</v>
      </c>
      <c r="C166" s="4" t="s">
        <v>255</v>
      </c>
      <c r="D166" s="8">
        <f>800*0.6</f>
        <v>480</v>
      </c>
      <c r="E166" s="9">
        <v>620</v>
      </c>
      <c r="F166" s="29">
        <f t="shared" si="14"/>
        <v>0.29166666666666674</v>
      </c>
      <c r="G166" s="31">
        <f t="shared" si="15"/>
        <v>0.22580645161290325</v>
      </c>
      <c r="H166" s="31" t="e">
        <f>VLOOKUP(C166,'Maestro de Productos'!$G:$H,2,0)</f>
        <v>#N/A</v>
      </c>
      <c r="I166" s="31"/>
      <c r="J166" s="10">
        <f t="shared" si="16"/>
        <v>613.79999999999995</v>
      </c>
      <c r="K166" s="31">
        <f t="shared" si="13"/>
        <v>0.21798631476050823</v>
      </c>
    </row>
    <row r="167" spans="1:11" ht="13" x14ac:dyDescent="0.3">
      <c r="A167" s="5" t="s">
        <v>10</v>
      </c>
      <c r="B167" s="5" t="s">
        <v>665</v>
      </c>
      <c r="C167" s="4" t="s">
        <v>256</v>
      </c>
      <c r="D167" s="8">
        <f>800*0.6</f>
        <v>480</v>
      </c>
      <c r="E167" s="9">
        <v>620</v>
      </c>
      <c r="F167" s="29">
        <f t="shared" si="14"/>
        <v>0.29166666666666674</v>
      </c>
      <c r="G167" s="31">
        <f t="shared" si="15"/>
        <v>0.22580645161290325</v>
      </c>
      <c r="H167" s="31" t="e">
        <f>VLOOKUP(C167,'Maestro de Productos'!$G:$H,2,0)</f>
        <v>#N/A</v>
      </c>
      <c r="I167" s="31"/>
      <c r="J167" s="10">
        <f t="shared" si="16"/>
        <v>613.79999999999995</v>
      </c>
      <c r="K167" s="31">
        <f t="shared" si="13"/>
        <v>0.21798631476050823</v>
      </c>
    </row>
    <row r="168" spans="1:11" ht="13" x14ac:dyDescent="0.3">
      <c r="A168" s="5" t="s">
        <v>10</v>
      </c>
      <c r="B168" s="5" t="s">
        <v>665</v>
      </c>
      <c r="C168" s="4" t="s">
        <v>258</v>
      </c>
      <c r="D168" s="8">
        <f>1300*0.6</f>
        <v>780</v>
      </c>
      <c r="E168" s="9">
        <v>1050</v>
      </c>
      <c r="F168" s="29">
        <f t="shared" si="14"/>
        <v>0.34615384615384626</v>
      </c>
      <c r="G168" s="31">
        <f t="shared" si="15"/>
        <v>0.25714285714285712</v>
      </c>
      <c r="H168" s="31" t="str">
        <f>VLOOKUP(C168,'Maestro de Productos'!$G:$H,2,0)</f>
        <v>6x750</v>
      </c>
      <c r="I168" s="31"/>
      <c r="J168" s="10">
        <f t="shared" si="16"/>
        <v>1039.5</v>
      </c>
      <c r="K168" s="31">
        <f t="shared" si="13"/>
        <v>0.24963924963924966</v>
      </c>
    </row>
    <row r="169" spans="1:11" ht="13" x14ac:dyDescent="0.3">
      <c r="A169" s="5" t="s">
        <v>10</v>
      </c>
      <c r="B169" s="5" t="s">
        <v>665</v>
      </c>
      <c r="C169" s="4" t="s">
        <v>259</v>
      </c>
      <c r="D169" s="8">
        <f>1300*0.6</f>
        <v>780</v>
      </c>
      <c r="E169" s="9">
        <v>1050</v>
      </c>
      <c r="F169" s="29">
        <f t="shared" si="14"/>
        <v>0.34615384615384626</v>
      </c>
      <c r="G169" s="31">
        <f t="shared" si="15"/>
        <v>0.25714285714285712</v>
      </c>
      <c r="H169" s="31" t="e">
        <f>VLOOKUP(C169,'Maestro de Productos'!$G:$H,2,0)</f>
        <v>#N/A</v>
      </c>
      <c r="I169" s="31"/>
      <c r="J169" s="10">
        <f t="shared" si="16"/>
        <v>1039.5</v>
      </c>
      <c r="K169" s="31">
        <f t="shared" si="13"/>
        <v>0.24963924963924966</v>
      </c>
    </row>
    <row r="170" spans="1:11" ht="13" x14ac:dyDescent="0.3">
      <c r="A170" s="5" t="s">
        <v>10</v>
      </c>
      <c r="B170" s="5" t="s">
        <v>665</v>
      </c>
      <c r="C170" s="4" t="s">
        <v>260</v>
      </c>
      <c r="D170" s="8">
        <f>1300*0.6</f>
        <v>780</v>
      </c>
      <c r="E170" s="9">
        <v>1050</v>
      </c>
      <c r="F170" s="29">
        <f t="shared" si="14"/>
        <v>0.34615384615384626</v>
      </c>
      <c r="G170" s="31">
        <f t="shared" si="15"/>
        <v>0.25714285714285712</v>
      </c>
      <c r="H170" s="31" t="e">
        <f>VLOOKUP(C170,'Maestro de Productos'!$G:$H,2,0)</f>
        <v>#N/A</v>
      </c>
      <c r="I170" s="31"/>
      <c r="J170" s="10">
        <f t="shared" si="16"/>
        <v>1039.5</v>
      </c>
      <c r="K170" s="31">
        <f t="shared" si="13"/>
        <v>0.24963924963924966</v>
      </c>
    </row>
    <row r="171" spans="1:11" ht="13" x14ac:dyDescent="0.3">
      <c r="A171" s="5" t="s">
        <v>10</v>
      </c>
      <c r="B171" s="5" t="s">
        <v>665</v>
      </c>
      <c r="C171" s="4" t="s">
        <v>261</v>
      </c>
      <c r="D171" s="8">
        <f>1300*0.6</f>
        <v>780</v>
      </c>
      <c r="E171" s="9">
        <v>1050</v>
      </c>
      <c r="F171" s="29">
        <f t="shared" si="14"/>
        <v>0.34615384615384626</v>
      </c>
      <c r="G171" s="31">
        <f t="shared" si="15"/>
        <v>0.25714285714285712</v>
      </c>
      <c r="H171" s="31" t="str">
        <f>VLOOKUP(C171,'Maestro de Productos'!$G:$H,2,0)</f>
        <v>6x750</v>
      </c>
      <c r="I171" s="31"/>
      <c r="J171" s="10">
        <f t="shared" si="16"/>
        <v>1039.5</v>
      </c>
      <c r="K171" s="31">
        <f t="shared" si="13"/>
        <v>0.24963924963924966</v>
      </c>
    </row>
    <row r="172" spans="1:11" ht="13" x14ac:dyDescent="0.3">
      <c r="A172" s="5" t="s">
        <v>10</v>
      </c>
      <c r="B172" s="5" t="s">
        <v>665</v>
      </c>
      <c r="C172" s="4" t="s">
        <v>263</v>
      </c>
      <c r="D172" s="8">
        <f>1050*0.6</f>
        <v>630</v>
      </c>
      <c r="E172" s="9">
        <v>850</v>
      </c>
      <c r="F172" s="29">
        <f t="shared" si="14"/>
        <v>0.3492063492063493</v>
      </c>
      <c r="G172" s="31">
        <f t="shared" si="15"/>
        <v>0.25882352941176467</v>
      </c>
      <c r="H172" s="31" t="str">
        <f>VLOOKUP(C172,'Maestro de Productos'!$G:$H,2,0)</f>
        <v>6x750</v>
      </c>
      <c r="I172" s="31"/>
      <c r="J172" s="10">
        <f t="shared" si="16"/>
        <v>841.5</v>
      </c>
      <c r="K172" s="31">
        <f t="shared" si="13"/>
        <v>0.25133689839572193</v>
      </c>
    </row>
    <row r="173" spans="1:11" ht="13" x14ac:dyDescent="0.3">
      <c r="A173" s="5" t="s">
        <v>10</v>
      </c>
      <c r="B173" s="5" t="s">
        <v>665</v>
      </c>
      <c r="C173" s="4" t="s">
        <v>265</v>
      </c>
      <c r="D173" s="8">
        <f>1490*0.6</f>
        <v>894</v>
      </c>
      <c r="E173" s="9">
        <v>1190</v>
      </c>
      <c r="F173" s="29">
        <f t="shared" si="14"/>
        <v>0.33109619686800884</v>
      </c>
      <c r="G173" s="31">
        <f t="shared" si="15"/>
        <v>0.24873949579831933</v>
      </c>
      <c r="H173" s="31" t="str">
        <f>VLOOKUP(C173,'Maestro de Productos'!$G:$H,2,0)</f>
        <v>6x750</v>
      </c>
      <c r="I173" s="31"/>
      <c r="J173" s="10">
        <f t="shared" si="16"/>
        <v>1178.0999999999999</v>
      </c>
      <c r="K173" s="31">
        <f t="shared" si="13"/>
        <v>0.2411510058568882</v>
      </c>
    </row>
    <row r="174" spans="1:11" ht="13" x14ac:dyDescent="0.3">
      <c r="A174" s="5" t="s">
        <v>10</v>
      </c>
      <c r="B174" s="5" t="s">
        <v>665</v>
      </c>
      <c r="C174" s="4" t="s">
        <v>268</v>
      </c>
      <c r="D174" s="8">
        <f>1200*0.6</f>
        <v>720</v>
      </c>
      <c r="E174" s="9">
        <v>950</v>
      </c>
      <c r="F174" s="29">
        <f t="shared" si="14"/>
        <v>0.31944444444444442</v>
      </c>
      <c r="G174" s="31">
        <f t="shared" si="15"/>
        <v>0.24210526315789471</v>
      </c>
      <c r="H174" s="31" t="str">
        <f>VLOOKUP(C174,'Maestro de Productos'!$G:$H,2,0)</f>
        <v>6x750</v>
      </c>
      <c r="I174" s="31"/>
      <c r="J174" s="10">
        <f t="shared" si="16"/>
        <v>940.5</v>
      </c>
      <c r="K174" s="31">
        <f t="shared" si="13"/>
        <v>0.23444976076555024</v>
      </c>
    </row>
    <row r="175" spans="1:11" ht="13" x14ac:dyDescent="0.3">
      <c r="A175" s="5" t="s">
        <v>10</v>
      </c>
      <c r="B175" s="5" t="s">
        <v>665</v>
      </c>
      <c r="C175" s="4" t="s">
        <v>270</v>
      </c>
      <c r="D175" s="8">
        <f>1400*0.6</f>
        <v>840</v>
      </c>
      <c r="E175" s="9">
        <v>1090</v>
      </c>
      <c r="F175" s="29">
        <f t="shared" si="14"/>
        <v>0.29761904761904767</v>
      </c>
      <c r="G175" s="31">
        <f t="shared" si="15"/>
        <v>0.22935779816513757</v>
      </c>
      <c r="H175" s="31" t="str">
        <f>VLOOKUP(C175,'Maestro de Productos'!$G:$H,2,0)</f>
        <v>6x750</v>
      </c>
      <c r="I175" s="31"/>
      <c r="J175" s="10">
        <f t="shared" si="16"/>
        <v>1079.0999999999999</v>
      </c>
      <c r="K175" s="31">
        <f t="shared" si="13"/>
        <v>0.22157353350013897</v>
      </c>
    </row>
    <row r="176" spans="1:11" ht="13" x14ac:dyDescent="0.3">
      <c r="A176" s="5" t="s">
        <v>10</v>
      </c>
      <c r="B176" s="5" t="s">
        <v>665</v>
      </c>
      <c r="C176" s="4" t="s">
        <v>271</v>
      </c>
      <c r="D176" s="8">
        <f>2100*0.6</f>
        <v>1260</v>
      </c>
      <c r="E176" s="9">
        <v>1690</v>
      </c>
      <c r="F176" s="29">
        <f t="shared" si="14"/>
        <v>0.34126984126984117</v>
      </c>
      <c r="G176" s="31">
        <f t="shared" si="15"/>
        <v>0.25443786982248517</v>
      </c>
      <c r="H176" s="31" t="str">
        <f>VLOOKUP(C176,'Maestro de Productos'!$G:$H,2,0)</f>
        <v>6x750</v>
      </c>
      <c r="I176" s="31"/>
      <c r="J176" s="10">
        <f t="shared" si="16"/>
        <v>1673.1</v>
      </c>
      <c r="K176" s="31">
        <f t="shared" si="13"/>
        <v>0.24690693921463147</v>
      </c>
    </row>
    <row r="177" spans="1:11" ht="13" x14ac:dyDescent="0.3">
      <c r="A177" s="5" t="s">
        <v>10</v>
      </c>
      <c r="B177" s="5" t="s">
        <v>665</v>
      </c>
      <c r="C177" s="4" t="s">
        <v>272</v>
      </c>
      <c r="D177" s="8">
        <f>2700*0.6</f>
        <v>1620</v>
      </c>
      <c r="E177" s="9">
        <v>2090</v>
      </c>
      <c r="F177" s="29">
        <f t="shared" si="14"/>
        <v>0.29012345679012341</v>
      </c>
      <c r="G177" s="31">
        <f t="shared" si="15"/>
        <v>0.22488038277511957</v>
      </c>
      <c r="H177" s="31" t="e">
        <f>VLOOKUP(C177,'Maestro de Productos'!$G:$H,2,0)</f>
        <v>#N/A</v>
      </c>
      <c r="I177" s="31"/>
      <c r="J177" s="10">
        <f t="shared" si="16"/>
        <v>2069.1</v>
      </c>
      <c r="K177" s="31">
        <f t="shared" si="13"/>
        <v>0.21705089169203995</v>
      </c>
    </row>
    <row r="178" spans="1:11" ht="13" x14ac:dyDescent="0.3">
      <c r="A178" s="5" t="s">
        <v>10</v>
      </c>
      <c r="B178" s="5" t="s">
        <v>665</v>
      </c>
      <c r="C178" s="4" t="s">
        <v>273</v>
      </c>
      <c r="D178" s="8">
        <f>3600*0.6</f>
        <v>2160</v>
      </c>
      <c r="E178" s="9">
        <v>2790</v>
      </c>
      <c r="F178" s="29">
        <f t="shared" si="14"/>
        <v>0.29166666666666674</v>
      </c>
      <c r="G178" s="31">
        <f t="shared" si="15"/>
        <v>0.22580645161290325</v>
      </c>
      <c r="H178" s="31" t="str">
        <f>VLOOKUP(C178,'Maestro de Productos'!$G:$H,2,0)</f>
        <v>6x750</v>
      </c>
      <c r="I178" s="31"/>
      <c r="J178" s="10">
        <f t="shared" si="16"/>
        <v>2762.1</v>
      </c>
      <c r="K178" s="31">
        <f t="shared" si="13"/>
        <v>0.21798631476050834</v>
      </c>
    </row>
    <row r="179" spans="1:11" ht="13" x14ac:dyDescent="0.3">
      <c r="A179" s="5" t="s">
        <v>10</v>
      </c>
      <c r="B179" s="5" t="s">
        <v>665</v>
      </c>
      <c r="C179" s="4" t="s">
        <v>276</v>
      </c>
      <c r="D179" s="8">
        <f>259.92*10/11*1.24</f>
        <v>293.00072727272732</v>
      </c>
      <c r="E179" s="9">
        <v>450</v>
      </c>
      <c r="F179" s="29">
        <f t="shared" si="14"/>
        <v>0.53583236529353928</v>
      </c>
      <c r="G179" s="31">
        <f t="shared" si="15"/>
        <v>0.3488872727272726</v>
      </c>
      <c r="H179" s="31" t="str">
        <f>VLOOKUP(C179,'Maestro de Productos'!$G:$H,2,0)</f>
        <v>6x750</v>
      </c>
      <c r="I179" s="31"/>
      <c r="J179" s="34">
        <f t="shared" ref="J179:J189" si="17">E179*0.95</f>
        <v>427.5</v>
      </c>
      <c r="K179" s="31">
        <f t="shared" si="13"/>
        <v>0.31461818181818169</v>
      </c>
    </row>
    <row r="180" spans="1:11" ht="13" x14ac:dyDescent="0.3">
      <c r="A180" s="5" t="s">
        <v>10</v>
      </c>
      <c r="B180" s="5" t="s">
        <v>665</v>
      </c>
      <c r="C180" s="4" t="s">
        <v>277</v>
      </c>
      <c r="D180" s="8">
        <f>259.92*10/11*1.24</f>
        <v>293.00072727272732</v>
      </c>
      <c r="E180" s="9">
        <v>450</v>
      </c>
      <c r="F180" s="29">
        <f t="shared" si="14"/>
        <v>0.53583236529353928</v>
      </c>
      <c r="G180" s="31">
        <f t="shared" si="15"/>
        <v>0.3488872727272726</v>
      </c>
      <c r="H180" s="31" t="e">
        <f>VLOOKUP(C180,'Maestro de Productos'!$G:$H,2,0)</f>
        <v>#N/A</v>
      </c>
      <c r="I180" s="31"/>
      <c r="J180" s="34">
        <f t="shared" si="17"/>
        <v>427.5</v>
      </c>
      <c r="K180" s="31">
        <f t="shared" si="13"/>
        <v>0.31461818181818169</v>
      </c>
    </row>
    <row r="181" spans="1:11" ht="13" x14ac:dyDescent="0.3">
      <c r="A181" s="5" t="s">
        <v>10</v>
      </c>
      <c r="B181" s="5" t="s">
        <v>665</v>
      </c>
      <c r="C181" s="4" t="s">
        <v>279</v>
      </c>
      <c r="D181" s="8">
        <f>343.64*10/11*1.24</f>
        <v>387.37599999999998</v>
      </c>
      <c r="E181" s="9">
        <v>650</v>
      </c>
      <c r="F181" s="29">
        <f t="shared" si="14"/>
        <v>0.67795630085498337</v>
      </c>
      <c r="G181" s="31">
        <f t="shared" si="15"/>
        <v>0.40403692307692307</v>
      </c>
      <c r="H181" s="31" t="str">
        <f>VLOOKUP(C181,'Maestro de Productos'!$G:$H,2,0)</f>
        <v>6x750</v>
      </c>
      <c r="I181" s="31"/>
      <c r="J181" s="34">
        <f t="shared" si="17"/>
        <v>617.5</v>
      </c>
      <c r="K181" s="31">
        <f t="shared" si="13"/>
        <v>0.37267044534412963</v>
      </c>
    </row>
    <row r="182" spans="1:11" ht="13" x14ac:dyDescent="0.3">
      <c r="A182" s="5" t="s">
        <v>10</v>
      </c>
      <c r="B182" s="5" t="s">
        <v>665</v>
      </c>
      <c r="C182" s="4" t="s">
        <v>282</v>
      </c>
      <c r="D182" s="8">
        <f>429.09*10/11*1.24</f>
        <v>483.70145454545451</v>
      </c>
      <c r="E182" s="9">
        <v>850</v>
      </c>
      <c r="F182" s="29">
        <f t="shared" si="14"/>
        <v>0.75728229057893715</v>
      </c>
      <c r="G182" s="31">
        <f t="shared" si="15"/>
        <v>0.43093946524064175</v>
      </c>
      <c r="H182" s="31" t="str">
        <f>VLOOKUP(C182,'Maestro de Productos'!$G:$H,2,0)</f>
        <v>6x750</v>
      </c>
      <c r="I182" s="31"/>
      <c r="J182" s="34">
        <f t="shared" si="17"/>
        <v>807.5</v>
      </c>
      <c r="K182" s="31">
        <f t="shared" si="13"/>
        <v>0.40098891077962284</v>
      </c>
    </row>
    <row r="183" spans="1:11" ht="13" x14ac:dyDescent="0.3">
      <c r="A183" s="5" t="s">
        <v>10</v>
      </c>
      <c r="B183" s="5" t="s">
        <v>665</v>
      </c>
      <c r="C183" s="4" t="s">
        <v>283</v>
      </c>
      <c r="D183" s="8">
        <f>429.09*10/11*1.24</f>
        <v>483.70145454545451</v>
      </c>
      <c r="E183" s="9">
        <v>850</v>
      </c>
      <c r="F183" s="29">
        <f t="shared" si="14"/>
        <v>0.75728229057893715</v>
      </c>
      <c r="G183" s="31">
        <f t="shared" si="15"/>
        <v>0.43093946524064175</v>
      </c>
      <c r="H183" s="31" t="e">
        <f>VLOOKUP(C183,'Maestro de Productos'!$G:$H,2,0)</f>
        <v>#N/A</v>
      </c>
      <c r="I183" s="31"/>
      <c r="J183" s="34">
        <f t="shared" si="17"/>
        <v>807.5</v>
      </c>
      <c r="K183" s="31">
        <f t="shared" si="13"/>
        <v>0.40098891077962284</v>
      </c>
    </row>
    <row r="184" spans="1:11" ht="13" x14ac:dyDescent="0.3">
      <c r="A184" s="5" t="s">
        <v>10</v>
      </c>
      <c r="B184" s="5" t="s">
        <v>665</v>
      </c>
      <c r="C184" s="4" t="s">
        <v>285</v>
      </c>
      <c r="D184" s="8">
        <f>942.15*10/11*1.24</f>
        <v>1062.06</v>
      </c>
      <c r="E184" s="9">
        <v>1890</v>
      </c>
      <c r="F184" s="29">
        <f t="shared" si="14"/>
        <v>0.77956047680921992</v>
      </c>
      <c r="G184" s="31">
        <f t="shared" si="15"/>
        <v>0.43806349206349204</v>
      </c>
      <c r="H184" s="31" t="str">
        <f>VLOOKUP(C184,'Maestro de Productos'!$G:$H,2,0)</f>
        <v>6x750</v>
      </c>
      <c r="I184" s="31"/>
      <c r="J184" s="34">
        <f t="shared" si="17"/>
        <v>1795.5</v>
      </c>
      <c r="K184" s="31">
        <f t="shared" si="13"/>
        <v>0.40848788638262323</v>
      </c>
    </row>
    <row r="185" spans="1:11" ht="13" x14ac:dyDescent="0.3">
      <c r="A185" s="5" t="s">
        <v>10</v>
      </c>
      <c r="B185" s="5" t="s">
        <v>665</v>
      </c>
      <c r="C185" s="4" t="s">
        <v>286</v>
      </c>
      <c r="D185" s="8">
        <f>1079.55*10/11*1.24</f>
        <v>1216.9472727272728</v>
      </c>
      <c r="E185" s="9">
        <v>1890</v>
      </c>
      <c r="F185" s="29">
        <f t="shared" si="14"/>
        <v>0.55306646586615393</v>
      </c>
      <c r="G185" s="31">
        <f t="shared" si="15"/>
        <v>0.35611255411255405</v>
      </c>
      <c r="H185" s="31" t="str">
        <f>VLOOKUP(C185,'Maestro de Productos'!$G:$H,2,0)</f>
        <v>6x750</v>
      </c>
      <c r="I185" s="31"/>
      <c r="J185" s="34">
        <f t="shared" si="17"/>
        <v>1795.5</v>
      </c>
      <c r="K185" s="31">
        <f t="shared" si="13"/>
        <v>0.32222374117110952</v>
      </c>
    </row>
    <row r="186" spans="1:11" ht="13" x14ac:dyDescent="0.3">
      <c r="A186" s="5" t="s">
        <v>10</v>
      </c>
      <c r="B186" s="5" t="s">
        <v>665</v>
      </c>
      <c r="C186" s="4" t="s">
        <v>287</v>
      </c>
      <c r="D186" s="8">
        <f>1079.55*10/11*1.24</f>
        <v>1216.9472727272728</v>
      </c>
      <c r="E186" s="9">
        <v>1890</v>
      </c>
      <c r="F186" s="29">
        <f t="shared" si="14"/>
        <v>0.55306646586615393</v>
      </c>
      <c r="G186" s="31">
        <f t="shared" si="15"/>
        <v>0.35611255411255405</v>
      </c>
      <c r="H186" s="31" t="e">
        <f>VLOOKUP(C186,'Maestro de Productos'!$G:$H,2,0)</f>
        <v>#N/A</v>
      </c>
      <c r="I186" s="31"/>
      <c r="J186" s="34">
        <f t="shared" si="17"/>
        <v>1795.5</v>
      </c>
      <c r="K186" s="31">
        <f t="shared" si="13"/>
        <v>0.32222374117110952</v>
      </c>
    </row>
    <row r="187" spans="1:11" ht="13" x14ac:dyDescent="0.3">
      <c r="A187" s="5" t="s">
        <v>10</v>
      </c>
      <c r="B187" s="5" t="s">
        <v>665</v>
      </c>
      <c r="C187" s="4" t="s">
        <v>289</v>
      </c>
      <c r="D187" s="8">
        <f>1413.22*10/11*1.24</f>
        <v>1593.0843636363636</v>
      </c>
      <c r="E187" s="9">
        <v>2590</v>
      </c>
      <c r="F187" s="29">
        <f t="shared" si="14"/>
        <v>0.62577705181167143</v>
      </c>
      <c r="G187" s="31">
        <f t="shared" si="15"/>
        <v>0.38490951210951208</v>
      </c>
      <c r="H187" s="31" t="str">
        <f>VLOOKUP(C187,'Maestro de Productos'!$G:$H,2,0)</f>
        <v>6x750</v>
      </c>
      <c r="I187" s="31"/>
      <c r="J187" s="34">
        <f t="shared" si="17"/>
        <v>2460.5</v>
      </c>
      <c r="K187" s="31">
        <f t="shared" si="13"/>
        <v>0.35253632853632855</v>
      </c>
    </row>
    <row r="188" spans="1:11" ht="13" x14ac:dyDescent="0.3">
      <c r="A188" s="5" t="s">
        <v>10</v>
      </c>
      <c r="B188" s="5" t="s">
        <v>665</v>
      </c>
      <c r="C188" s="4" t="s">
        <v>291</v>
      </c>
      <c r="D188" s="8">
        <f>2398.77*10/11*1.24</f>
        <v>2704.0680000000002</v>
      </c>
      <c r="E188" s="9">
        <v>4490</v>
      </c>
      <c r="F188" s="29">
        <f t="shared" si="14"/>
        <v>0.66046120141949083</v>
      </c>
      <c r="G188" s="31">
        <f t="shared" si="15"/>
        <v>0.3977576837416481</v>
      </c>
      <c r="H188" s="31" t="str">
        <f>VLOOKUP(C188,'Maestro de Productos'!$G:$H,2,0)</f>
        <v>3x750</v>
      </c>
      <c r="I188" s="31"/>
      <c r="J188" s="34">
        <f t="shared" si="17"/>
        <v>4265.5</v>
      </c>
      <c r="K188" s="31">
        <f t="shared" si="13"/>
        <v>0.36606071972805054</v>
      </c>
    </row>
    <row r="189" spans="1:11" ht="13" x14ac:dyDescent="0.3">
      <c r="A189" s="5" t="s">
        <v>10</v>
      </c>
      <c r="B189" s="5" t="s">
        <v>665</v>
      </c>
      <c r="C189" s="4" t="s">
        <v>293</v>
      </c>
      <c r="D189" s="8">
        <f>3376.02*1.24</f>
        <v>4186.2647999999999</v>
      </c>
      <c r="E189" s="9">
        <v>5990</v>
      </c>
      <c r="F189" s="29">
        <f t="shared" si="14"/>
        <v>0.43086982935240981</v>
      </c>
      <c r="G189" s="31">
        <f t="shared" si="15"/>
        <v>0.301124407345576</v>
      </c>
      <c r="H189" s="31" t="str">
        <f>VLOOKUP(C189,'Maestro de Productos'!$G:$H,2,0)</f>
        <v>1x1500</v>
      </c>
      <c r="I189" s="31"/>
      <c r="J189" s="10">
        <f t="shared" si="17"/>
        <v>5690.5</v>
      </c>
      <c r="K189" s="31">
        <f t="shared" si="13"/>
        <v>0.2643414814163958</v>
      </c>
    </row>
    <row r="190" spans="1:11" ht="13" x14ac:dyDescent="0.3">
      <c r="A190" s="5" t="s">
        <v>10</v>
      </c>
      <c r="B190" s="5" t="s">
        <v>665</v>
      </c>
      <c r="C190" s="26" t="s">
        <v>689</v>
      </c>
      <c r="D190" s="8">
        <v>562</v>
      </c>
      <c r="E190" s="9">
        <v>790</v>
      </c>
      <c r="F190" s="29">
        <f t="shared" si="14"/>
        <v>0.40569395017793597</v>
      </c>
      <c r="G190" s="31">
        <f t="shared" si="15"/>
        <v>0.28860759493670884</v>
      </c>
      <c r="H190" s="31" t="str">
        <f>VLOOKUP(C190,'Maestro de Productos'!$G:$H,2,0)</f>
        <v>6x750</v>
      </c>
      <c r="I190" s="31"/>
      <c r="J190" s="10">
        <f t="shared" ref="J190:J221" si="18">E190*0.99</f>
        <v>782.1</v>
      </c>
      <c r="K190" s="31">
        <f t="shared" si="13"/>
        <v>0.28142181306738268</v>
      </c>
    </row>
    <row r="191" spans="1:11" ht="13" x14ac:dyDescent="0.3">
      <c r="A191" s="5" t="s">
        <v>10</v>
      </c>
      <c r="B191" s="5" t="s">
        <v>665</v>
      </c>
      <c r="C191" s="26" t="s">
        <v>690</v>
      </c>
      <c r="D191" s="8">
        <v>562</v>
      </c>
      <c r="E191" s="9">
        <v>790</v>
      </c>
      <c r="F191" s="29">
        <f t="shared" si="14"/>
        <v>0.40569395017793597</v>
      </c>
      <c r="G191" s="31">
        <f t="shared" si="15"/>
        <v>0.28860759493670884</v>
      </c>
      <c r="H191" s="31" t="str">
        <f>VLOOKUP(C191,'Maestro de Productos'!$G:$H,2,0)</f>
        <v>6x750</v>
      </c>
      <c r="I191" s="31"/>
      <c r="J191" s="10">
        <f t="shared" si="18"/>
        <v>782.1</v>
      </c>
      <c r="K191" s="31">
        <f t="shared" si="13"/>
        <v>0.28142181306738268</v>
      </c>
    </row>
    <row r="192" spans="1:11" ht="13" x14ac:dyDescent="0.3">
      <c r="A192" s="5" t="s">
        <v>10</v>
      </c>
      <c r="B192" s="5" t="s">
        <v>665</v>
      </c>
      <c r="C192" s="26" t="s">
        <v>691</v>
      </c>
      <c r="D192" s="8">
        <v>697</v>
      </c>
      <c r="E192" s="9">
        <v>990</v>
      </c>
      <c r="F192" s="29">
        <f t="shared" si="14"/>
        <v>0.4203730272596844</v>
      </c>
      <c r="G192" s="31">
        <f t="shared" si="15"/>
        <v>0.29595959595959598</v>
      </c>
      <c r="H192" s="31" t="e">
        <f>VLOOKUP(C192,'Maestro de Productos'!$G:$H,2,0)</f>
        <v>#N/A</v>
      </c>
      <c r="I192" s="31"/>
      <c r="J192" s="10">
        <f t="shared" si="18"/>
        <v>980.1</v>
      </c>
      <c r="K192" s="31">
        <f t="shared" si="13"/>
        <v>0.28884807672686463</v>
      </c>
    </row>
    <row r="193" spans="1:11" ht="13" x14ac:dyDescent="0.3">
      <c r="A193" s="5" t="s">
        <v>10</v>
      </c>
      <c r="B193" s="5" t="s">
        <v>665</v>
      </c>
      <c r="C193" s="26" t="s">
        <v>692</v>
      </c>
      <c r="D193" s="8">
        <v>777</v>
      </c>
      <c r="E193" s="9">
        <v>1090</v>
      </c>
      <c r="F193" s="29">
        <f t="shared" si="14"/>
        <v>0.40283140283140284</v>
      </c>
      <c r="G193" s="31">
        <f t="shared" si="15"/>
        <v>0.28715596330275228</v>
      </c>
      <c r="H193" s="31" t="str">
        <f>VLOOKUP(C193,'Maestro de Productos'!$G:$H,2,0)</f>
        <v>6x750</v>
      </c>
      <c r="I193" s="31"/>
      <c r="J193" s="10">
        <f t="shared" si="18"/>
        <v>1079.0999999999999</v>
      </c>
      <c r="K193" s="31">
        <f t="shared" si="13"/>
        <v>0.27995551848762856</v>
      </c>
    </row>
    <row r="194" spans="1:11" ht="13" x14ac:dyDescent="0.3">
      <c r="A194" s="5" t="s">
        <v>10</v>
      </c>
      <c r="B194" s="5" t="s">
        <v>665</v>
      </c>
      <c r="C194" s="26" t="s">
        <v>693</v>
      </c>
      <c r="D194" s="8">
        <v>1193</v>
      </c>
      <c r="E194" s="9">
        <v>1690</v>
      </c>
      <c r="F194" s="29">
        <f t="shared" si="14"/>
        <v>0.41659681475272414</v>
      </c>
      <c r="G194" s="31">
        <f t="shared" si="15"/>
        <v>0.2940828402366864</v>
      </c>
      <c r="H194" s="31" t="str">
        <f>VLOOKUP(C194,'Maestro de Productos'!$G:$H,2,0)</f>
        <v>6x750</v>
      </c>
      <c r="I194" s="31"/>
      <c r="J194" s="10">
        <f t="shared" si="18"/>
        <v>1673.1</v>
      </c>
      <c r="K194" s="31">
        <f t="shared" ref="K194:K257" si="19">IFERROR(1-D194/J194,0)</f>
        <v>0.28695236387544076</v>
      </c>
    </row>
    <row r="195" spans="1:11" ht="13" x14ac:dyDescent="0.3">
      <c r="A195" s="5" t="s">
        <v>10</v>
      </c>
      <c r="B195" s="5" t="s">
        <v>665</v>
      </c>
      <c r="C195" s="25" t="s">
        <v>694</v>
      </c>
      <c r="D195" s="8">
        <v>6000</v>
      </c>
      <c r="E195" s="9">
        <v>7900</v>
      </c>
      <c r="F195" s="29">
        <f t="shared" si="14"/>
        <v>0.31666666666666665</v>
      </c>
      <c r="G195" s="31">
        <f t="shared" si="15"/>
        <v>0.240506329113924</v>
      </c>
      <c r="H195" s="31" t="str">
        <f>VLOOKUP(C195,'Maestro de Productos'!$G:$H,2,0)</f>
        <v>6x750</v>
      </c>
      <c r="I195" s="31"/>
      <c r="J195" s="10">
        <f t="shared" si="18"/>
        <v>7821</v>
      </c>
      <c r="K195" s="31">
        <f t="shared" si="19"/>
        <v>0.23283467587265061</v>
      </c>
    </row>
    <row r="196" spans="1:11" ht="13" x14ac:dyDescent="0.3">
      <c r="A196" s="5" t="s">
        <v>10</v>
      </c>
      <c r="B196" s="5" t="s">
        <v>665</v>
      </c>
      <c r="C196" s="25" t="s">
        <v>695</v>
      </c>
      <c r="D196" s="8">
        <v>6900</v>
      </c>
      <c r="E196" s="9">
        <v>8900</v>
      </c>
      <c r="F196" s="29">
        <f t="shared" si="14"/>
        <v>0.28985507246376807</v>
      </c>
      <c r="G196" s="31">
        <f t="shared" si="15"/>
        <v>0.2247191011235955</v>
      </c>
      <c r="H196" s="31" t="str">
        <f>VLOOKUP(C196,'Maestro de Productos'!$G:$H,2,0)</f>
        <v>6x750</v>
      </c>
      <c r="I196" s="31"/>
      <c r="J196" s="10">
        <f t="shared" si="18"/>
        <v>8811</v>
      </c>
      <c r="K196" s="31">
        <f t="shared" si="19"/>
        <v>0.21688798093292472</v>
      </c>
    </row>
    <row r="197" spans="1:11" ht="13" x14ac:dyDescent="0.3">
      <c r="A197" s="5" t="s">
        <v>10</v>
      </c>
      <c r="B197" s="5" t="s">
        <v>665</v>
      </c>
      <c r="C197" s="6" t="s">
        <v>297</v>
      </c>
      <c r="D197" s="8">
        <v>3322.6</v>
      </c>
      <c r="E197" s="9">
        <v>4290</v>
      </c>
      <c r="F197" s="29">
        <f t="shared" si="14"/>
        <v>0.29115752723770538</v>
      </c>
      <c r="G197" s="31">
        <f t="shared" si="15"/>
        <v>0.2255011655011655</v>
      </c>
      <c r="H197" s="31" t="str">
        <f>VLOOKUP(C197,'Maestro de Productos'!$G:$H,2,0)</f>
        <v>6x750</v>
      </c>
      <c r="I197" s="31"/>
      <c r="J197" s="10">
        <f t="shared" si="18"/>
        <v>4247.1000000000004</v>
      </c>
      <c r="K197" s="31">
        <f t="shared" si="19"/>
        <v>0.21767794495067228</v>
      </c>
    </row>
    <row r="198" spans="1:11" ht="13" x14ac:dyDescent="0.3">
      <c r="A198" s="5" t="s">
        <v>10</v>
      </c>
      <c r="B198" s="5" t="s">
        <v>665</v>
      </c>
      <c r="C198" s="6" t="s">
        <v>298</v>
      </c>
      <c r="D198" s="8">
        <v>3322.6</v>
      </c>
      <c r="E198" s="9">
        <v>4290</v>
      </c>
      <c r="F198" s="29">
        <f t="shared" si="14"/>
        <v>0.29115752723770538</v>
      </c>
      <c r="G198" s="31">
        <f t="shared" si="15"/>
        <v>0.2255011655011655</v>
      </c>
      <c r="H198" s="31" t="str">
        <f>VLOOKUP(C198,'Maestro de Productos'!$G:$H,2,0)</f>
        <v>6x750</v>
      </c>
      <c r="I198" s="31"/>
      <c r="J198" s="10">
        <f t="shared" si="18"/>
        <v>4247.1000000000004</v>
      </c>
      <c r="K198" s="31">
        <f t="shared" si="19"/>
        <v>0.21767794495067228</v>
      </c>
    </row>
    <row r="199" spans="1:11" ht="13" x14ac:dyDescent="0.3">
      <c r="A199" s="5" t="s">
        <v>10</v>
      </c>
      <c r="B199" s="5" t="s">
        <v>665</v>
      </c>
      <c r="C199" s="6" t="s">
        <v>300</v>
      </c>
      <c r="D199" s="8">
        <v>2161.2156784246699</v>
      </c>
      <c r="E199" s="9">
        <v>2790</v>
      </c>
      <c r="F199" s="29">
        <f t="shared" si="14"/>
        <v>0.29094010739069631</v>
      </c>
      <c r="G199" s="31">
        <f t="shared" si="15"/>
        <v>0.22537072457897134</v>
      </c>
      <c r="H199" s="31" t="str">
        <f>VLOOKUP(C199,'Maestro de Productos'!$G:$H,2,0)</f>
        <v>6x750</v>
      </c>
      <c r="I199" s="31"/>
      <c r="J199" s="10">
        <f t="shared" si="18"/>
        <v>2762.1</v>
      </c>
      <c r="K199" s="31">
        <f t="shared" si="19"/>
        <v>0.2175461864434054</v>
      </c>
    </row>
    <row r="200" spans="1:11" ht="13" x14ac:dyDescent="0.3">
      <c r="A200" s="5" t="s">
        <v>10</v>
      </c>
      <c r="B200" s="5" t="s">
        <v>666</v>
      </c>
      <c r="C200" s="6" t="s">
        <v>301</v>
      </c>
      <c r="D200" s="8">
        <v>2701.0574047719779</v>
      </c>
      <c r="E200" s="9">
        <v>3490</v>
      </c>
      <c r="F200" s="29">
        <f t="shared" si="14"/>
        <v>0.29208657092373946</v>
      </c>
      <c r="G200" s="31">
        <f t="shared" si="15"/>
        <v>0.22605805020860237</v>
      </c>
      <c r="H200" s="31" t="str">
        <f>VLOOKUP(C200,'Maestro de Productos'!$G:$H,2,0)</f>
        <v>6x750</v>
      </c>
      <c r="I200" s="31"/>
      <c r="J200" s="10">
        <f t="shared" si="18"/>
        <v>3455.1</v>
      </c>
      <c r="K200" s="31">
        <f t="shared" si="19"/>
        <v>0.21824045475616394</v>
      </c>
    </row>
    <row r="201" spans="1:11" ht="13" x14ac:dyDescent="0.3">
      <c r="A201" s="5" t="s">
        <v>10</v>
      </c>
      <c r="B201" s="5" t="s">
        <v>665</v>
      </c>
      <c r="C201" s="6" t="s">
        <v>303</v>
      </c>
      <c r="D201" s="8">
        <v>1582.78</v>
      </c>
      <c r="E201" s="9">
        <v>2090</v>
      </c>
      <c r="F201" s="29">
        <f t="shared" si="14"/>
        <v>0.32046146653356744</v>
      </c>
      <c r="G201" s="31">
        <f t="shared" si="15"/>
        <v>0.24268899521531107</v>
      </c>
      <c r="H201" s="31" t="str">
        <f>VLOOKUP(C201,'Maestro de Productos'!$G:$H,2,0)</f>
        <v>6x750</v>
      </c>
      <c r="I201" s="31"/>
      <c r="J201" s="10">
        <f t="shared" si="18"/>
        <v>2069.1</v>
      </c>
      <c r="K201" s="31">
        <f t="shared" si="19"/>
        <v>0.23503938910637479</v>
      </c>
    </row>
    <row r="202" spans="1:11" ht="13" x14ac:dyDescent="0.3">
      <c r="A202" s="5" t="s">
        <v>10</v>
      </c>
      <c r="B202" s="5" t="s">
        <v>665</v>
      </c>
      <c r="C202" s="4" t="s">
        <v>304</v>
      </c>
      <c r="D202" s="8">
        <v>1582.78</v>
      </c>
      <c r="E202" s="9">
        <v>2090</v>
      </c>
      <c r="F202" s="29">
        <f t="shared" si="14"/>
        <v>0.32046146653356744</v>
      </c>
      <c r="G202" s="31">
        <f t="shared" si="15"/>
        <v>0.24268899521531107</v>
      </c>
      <c r="H202" s="31" t="e">
        <f>VLOOKUP(C202,'Maestro de Productos'!$G:$H,2,0)</f>
        <v>#N/A</v>
      </c>
      <c r="I202" s="31"/>
      <c r="J202" s="10">
        <f t="shared" si="18"/>
        <v>2069.1</v>
      </c>
      <c r="K202" s="31">
        <f t="shared" si="19"/>
        <v>0.23503938910637479</v>
      </c>
    </row>
    <row r="203" spans="1:11" ht="13" x14ac:dyDescent="0.3">
      <c r="A203" s="5" t="s">
        <v>10</v>
      </c>
      <c r="B203" s="5" t="s">
        <v>665</v>
      </c>
      <c r="C203" s="6" t="s">
        <v>305</v>
      </c>
      <c r="D203" s="8">
        <v>1582.78</v>
      </c>
      <c r="E203" s="9">
        <v>2090</v>
      </c>
      <c r="F203" s="29">
        <f t="shared" si="14"/>
        <v>0.32046146653356744</v>
      </c>
      <c r="G203" s="31">
        <f t="shared" si="15"/>
        <v>0.24268899521531107</v>
      </c>
      <c r="H203" s="31" t="e">
        <f>VLOOKUP(C203,'Maestro de Productos'!$G:$H,2,0)</f>
        <v>#N/A</v>
      </c>
      <c r="I203" s="31"/>
      <c r="J203" s="10">
        <f t="shared" si="18"/>
        <v>2069.1</v>
      </c>
      <c r="K203" s="31">
        <f t="shared" si="19"/>
        <v>0.23503938910637479</v>
      </c>
    </row>
    <row r="204" spans="1:11" ht="13" x14ac:dyDescent="0.3">
      <c r="A204" s="5" t="s">
        <v>10</v>
      </c>
      <c r="B204" s="5" t="s">
        <v>665</v>
      </c>
      <c r="C204" s="6" t="s">
        <v>307</v>
      </c>
      <c r="D204" s="8">
        <v>833.58</v>
      </c>
      <c r="E204" s="9">
        <v>1090</v>
      </c>
      <c r="F204" s="29">
        <f t="shared" si="14"/>
        <v>0.3076129465678159</v>
      </c>
      <c r="G204" s="31">
        <f t="shared" si="15"/>
        <v>0.23524770642201831</v>
      </c>
      <c r="H204" s="31" t="str">
        <f>VLOOKUP(C204,'Maestro de Productos'!$G:$H,2,0)</f>
        <v>6x750</v>
      </c>
      <c r="I204" s="31"/>
      <c r="J204" s="10">
        <f t="shared" si="18"/>
        <v>1079.0999999999999</v>
      </c>
      <c r="K204" s="31">
        <f t="shared" si="19"/>
        <v>0.22752293577981642</v>
      </c>
    </row>
    <row r="205" spans="1:11" ht="13" x14ac:dyDescent="0.3">
      <c r="A205" s="5" t="s">
        <v>10</v>
      </c>
      <c r="B205" s="5" t="s">
        <v>665</v>
      </c>
      <c r="C205" s="6" t="s">
        <v>308</v>
      </c>
      <c r="D205" s="8">
        <v>833.58</v>
      </c>
      <c r="E205" s="9">
        <v>1090</v>
      </c>
      <c r="F205" s="29">
        <f t="shared" si="14"/>
        <v>0.3076129465678159</v>
      </c>
      <c r="G205" s="31">
        <f t="shared" si="15"/>
        <v>0.23524770642201831</v>
      </c>
      <c r="H205" s="31" t="str">
        <f>VLOOKUP(C205,'Maestro de Productos'!$G:$H,2,0)</f>
        <v>6x750</v>
      </c>
      <c r="I205" s="31"/>
      <c r="J205" s="10">
        <f t="shared" si="18"/>
        <v>1079.0999999999999</v>
      </c>
      <c r="K205" s="31">
        <f t="shared" si="19"/>
        <v>0.22752293577981642</v>
      </c>
    </row>
    <row r="206" spans="1:11" ht="13" x14ac:dyDescent="0.3">
      <c r="A206" s="5" t="s">
        <v>10</v>
      </c>
      <c r="B206" s="5" t="s">
        <v>665</v>
      </c>
      <c r="C206" s="6" t="s">
        <v>309</v>
      </c>
      <c r="D206" s="8">
        <v>833.58</v>
      </c>
      <c r="E206" s="9">
        <v>1090</v>
      </c>
      <c r="F206" s="29">
        <f t="shared" si="14"/>
        <v>0.3076129465678159</v>
      </c>
      <c r="G206" s="31">
        <f t="shared" si="15"/>
        <v>0.23524770642201831</v>
      </c>
      <c r="H206" s="31" t="e">
        <f>VLOOKUP(C206,'Maestro de Productos'!$G:$H,2,0)</f>
        <v>#N/A</v>
      </c>
      <c r="I206" s="31"/>
      <c r="J206" s="10">
        <f t="shared" si="18"/>
        <v>1079.0999999999999</v>
      </c>
      <c r="K206" s="31">
        <f t="shared" si="19"/>
        <v>0.22752293577981642</v>
      </c>
    </row>
    <row r="207" spans="1:11" ht="13" x14ac:dyDescent="0.3">
      <c r="A207" s="5" t="s">
        <v>10</v>
      </c>
      <c r="B207" s="5" t="s">
        <v>665</v>
      </c>
      <c r="C207" s="6" t="s">
        <v>311</v>
      </c>
      <c r="D207" s="8">
        <v>959.28</v>
      </c>
      <c r="E207" s="9">
        <v>1290</v>
      </c>
      <c r="F207" s="29">
        <f t="shared" si="14"/>
        <v>0.34475856892669499</v>
      </c>
      <c r="G207" s="31">
        <f t="shared" si="15"/>
        <v>0.25637209302325581</v>
      </c>
      <c r="H207" s="31" t="e">
        <f>VLOOKUP(C207,'Maestro de Productos'!$G:$H,2,0)</f>
        <v>#N/A</v>
      </c>
      <c r="I207" s="31"/>
      <c r="J207" s="10">
        <f t="shared" si="18"/>
        <v>1277.0999999999999</v>
      </c>
      <c r="K207" s="31">
        <f t="shared" si="19"/>
        <v>0.2488607000234907</v>
      </c>
    </row>
    <row r="208" spans="1:11" ht="13" x14ac:dyDescent="0.3">
      <c r="A208" s="5" t="s">
        <v>10</v>
      </c>
      <c r="B208" s="5" t="s">
        <v>665</v>
      </c>
      <c r="C208" s="6" t="s">
        <v>312</v>
      </c>
      <c r="D208" s="8">
        <v>959.28</v>
      </c>
      <c r="E208" s="9">
        <v>1290</v>
      </c>
      <c r="F208" s="29">
        <f t="shared" si="14"/>
        <v>0.34475856892669499</v>
      </c>
      <c r="G208" s="31">
        <f t="shared" ref="G208:G279" si="20">IFERROR(1-D208/E208,0)</f>
        <v>0.25637209302325581</v>
      </c>
      <c r="H208" s="31" t="str">
        <f>VLOOKUP(C208,'Maestro de Productos'!$G:$H,2,0)</f>
        <v>6x750</v>
      </c>
      <c r="I208" s="31"/>
      <c r="J208" s="10">
        <f t="shared" si="18"/>
        <v>1277.0999999999999</v>
      </c>
      <c r="K208" s="31">
        <f t="shared" si="19"/>
        <v>0.2488607000234907</v>
      </c>
    </row>
    <row r="209" spans="1:11" ht="13" x14ac:dyDescent="0.3">
      <c r="A209" s="5" t="s">
        <v>10</v>
      </c>
      <c r="B209" s="5" t="s">
        <v>665</v>
      </c>
      <c r="C209" s="6" t="s">
        <v>313</v>
      </c>
      <c r="D209" s="8">
        <v>959.28</v>
      </c>
      <c r="E209" s="9">
        <v>1290</v>
      </c>
      <c r="F209" s="29">
        <f t="shared" si="14"/>
        <v>0.34475856892669499</v>
      </c>
      <c r="G209" s="31">
        <f t="shared" si="20"/>
        <v>0.25637209302325581</v>
      </c>
      <c r="H209" s="31" t="str">
        <f>VLOOKUP(C209,'Maestro de Productos'!$G:$H,2,0)</f>
        <v>6x750</v>
      </c>
      <c r="I209" s="31"/>
      <c r="J209" s="10">
        <f t="shared" si="18"/>
        <v>1277.0999999999999</v>
      </c>
      <c r="K209" s="31">
        <f t="shared" si="19"/>
        <v>0.2488607000234907</v>
      </c>
    </row>
    <row r="210" spans="1:11" ht="13" x14ac:dyDescent="0.3">
      <c r="A210" s="5" t="s">
        <v>10</v>
      </c>
      <c r="B210" s="5" t="s">
        <v>665</v>
      </c>
      <c r="C210" s="6" t="s">
        <v>315</v>
      </c>
      <c r="D210" s="8">
        <v>917.11</v>
      </c>
      <c r="E210" s="9">
        <v>1250</v>
      </c>
      <c r="F210" s="29">
        <f t="shared" si="14"/>
        <v>0.36297717831012632</v>
      </c>
      <c r="G210" s="31">
        <f t="shared" si="20"/>
        <v>0.26631199999999999</v>
      </c>
      <c r="H210" s="31" t="str">
        <f>VLOOKUP(C210,'Maestro de Productos'!$G:$H,2,0)</f>
        <v>6x750</v>
      </c>
      <c r="I210" s="31"/>
      <c r="J210" s="10">
        <f t="shared" si="18"/>
        <v>1237.5</v>
      </c>
      <c r="K210" s="31">
        <f t="shared" si="19"/>
        <v>0.25890101010101008</v>
      </c>
    </row>
    <row r="211" spans="1:11" ht="13" x14ac:dyDescent="0.3">
      <c r="A211" s="5" t="s">
        <v>10</v>
      </c>
      <c r="B211" s="5" t="s">
        <v>665</v>
      </c>
      <c r="C211" s="6" t="s">
        <v>316</v>
      </c>
      <c r="D211" s="8">
        <v>917.11</v>
      </c>
      <c r="E211" s="9">
        <v>1250</v>
      </c>
      <c r="F211" s="29">
        <f t="shared" si="14"/>
        <v>0.36297717831012632</v>
      </c>
      <c r="G211" s="31">
        <f t="shared" si="20"/>
        <v>0.26631199999999999</v>
      </c>
      <c r="H211" s="31" t="str">
        <f>VLOOKUP(C211,'Maestro de Productos'!$G:$H,2,0)</f>
        <v>6x750</v>
      </c>
      <c r="I211" s="31"/>
      <c r="J211" s="10">
        <f t="shared" si="18"/>
        <v>1237.5</v>
      </c>
      <c r="K211" s="31">
        <f t="shared" si="19"/>
        <v>0.25890101010101008</v>
      </c>
    </row>
    <row r="212" spans="1:11" ht="13" x14ac:dyDescent="0.3">
      <c r="A212" s="5" t="s">
        <v>10</v>
      </c>
      <c r="B212" s="5" t="s">
        <v>665</v>
      </c>
      <c r="C212" s="25" t="s">
        <v>317</v>
      </c>
      <c r="D212" s="8">
        <v>917.11</v>
      </c>
      <c r="E212" s="9">
        <v>1250</v>
      </c>
      <c r="F212" s="29">
        <f t="shared" si="14"/>
        <v>0.36297717831012632</v>
      </c>
      <c r="G212" s="31">
        <f t="shared" si="20"/>
        <v>0.26631199999999999</v>
      </c>
      <c r="H212" s="31" t="str">
        <f>VLOOKUP(C212,'Maestro de Productos'!$G:$H,2,0)</f>
        <v>6x750</v>
      </c>
      <c r="I212" s="31"/>
      <c r="J212" s="10">
        <f t="shared" si="18"/>
        <v>1237.5</v>
      </c>
      <c r="K212" s="31">
        <f t="shared" si="19"/>
        <v>0.25890101010101008</v>
      </c>
    </row>
    <row r="213" spans="1:11" ht="13" x14ac:dyDescent="0.3">
      <c r="A213" s="5" t="s">
        <v>10</v>
      </c>
      <c r="B213" s="5" t="s">
        <v>665</v>
      </c>
      <c r="C213" s="25" t="s">
        <v>320</v>
      </c>
      <c r="D213" s="8">
        <v>1943.4828946690084</v>
      </c>
      <c r="E213" s="9">
        <v>2590</v>
      </c>
      <c r="F213" s="29">
        <f t="shared" si="14"/>
        <v>0.33265901495937733</v>
      </c>
      <c r="G213" s="31">
        <f t="shared" si="20"/>
        <v>0.24962050398879987</v>
      </c>
      <c r="H213" s="31" t="str">
        <f>VLOOKUP(C213,'Maestro de Productos'!$G:$H,2,0)</f>
        <v>6x750</v>
      </c>
      <c r="I213" s="31"/>
      <c r="J213" s="10">
        <f t="shared" si="18"/>
        <v>2564.1</v>
      </c>
      <c r="K213" s="31">
        <f t="shared" si="19"/>
        <v>0.24204091311999987</v>
      </c>
    </row>
    <row r="214" spans="1:11" ht="13" x14ac:dyDescent="0.3">
      <c r="A214" s="5" t="s">
        <v>10</v>
      </c>
      <c r="B214" s="5" t="s">
        <v>665</v>
      </c>
      <c r="C214" s="25" t="s">
        <v>321</v>
      </c>
      <c r="D214" s="8">
        <v>1740.57</v>
      </c>
      <c r="E214" s="9">
        <v>2390</v>
      </c>
      <c r="F214" s="29">
        <f t="shared" si="14"/>
        <v>0.37311340537869775</v>
      </c>
      <c r="G214" s="31">
        <f t="shared" si="20"/>
        <v>0.27172803347280339</v>
      </c>
      <c r="H214" s="31" t="str">
        <f>VLOOKUP(C214,'Maestro de Productos'!$G:$H,2,0)</f>
        <v>6x750</v>
      </c>
      <c r="I214" s="31"/>
      <c r="J214" s="10">
        <f t="shared" si="18"/>
        <v>2366.1</v>
      </c>
      <c r="K214" s="31">
        <f t="shared" si="19"/>
        <v>0.26437175098262966</v>
      </c>
    </row>
    <row r="215" spans="1:11" ht="13" x14ac:dyDescent="0.3">
      <c r="A215" s="5" t="s">
        <v>10</v>
      </c>
      <c r="B215" s="5" t="s">
        <v>665</v>
      </c>
      <c r="C215" s="25" t="s">
        <v>322</v>
      </c>
      <c r="D215" s="8">
        <v>1424.1389999999999</v>
      </c>
      <c r="E215" s="9">
        <v>1890</v>
      </c>
      <c r="F215" s="29">
        <f t="shared" si="14"/>
        <v>0.32711764792622078</v>
      </c>
      <c r="G215" s="31">
        <f t="shared" si="20"/>
        <v>0.24648730158730159</v>
      </c>
      <c r="H215" s="31" t="str">
        <f>VLOOKUP(C215,'Maestro de Productos'!$G:$H,2,0)</f>
        <v>6x750</v>
      </c>
      <c r="I215" s="31"/>
      <c r="J215" s="10">
        <f t="shared" si="18"/>
        <v>1871.1</v>
      </c>
      <c r="K215" s="31">
        <f t="shared" si="19"/>
        <v>0.23887606220939561</v>
      </c>
    </row>
    <row r="216" spans="1:11" ht="13" x14ac:dyDescent="0.3">
      <c r="A216" s="5" t="s">
        <v>10</v>
      </c>
      <c r="B216" s="5" t="s">
        <v>665</v>
      </c>
      <c r="C216" s="26" t="s">
        <v>696</v>
      </c>
      <c r="D216" s="8">
        <v>730.43</v>
      </c>
      <c r="E216" s="9">
        <v>950</v>
      </c>
      <c r="F216" s="29">
        <f>E216/D216-1</f>
        <v>0.30060375395315098</v>
      </c>
      <c r="G216" s="31">
        <f>IFERROR(1-D216/E216,0)</f>
        <v>0.23112631578947374</v>
      </c>
      <c r="H216" s="31" t="str">
        <f>VLOOKUP(C216,'Maestro de Productos'!$G:$H,2,0)</f>
        <v>6x750</v>
      </c>
      <c r="I216" s="31"/>
      <c r="J216" s="10">
        <f t="shared" si="18"/>
        <v>940.5</v>
      </c>
      <c r="K216" s="31">
        <f t="shared" si="19"/>
        <v>0.22335991493886231</v>
      </c>
    </row>
    <row r="217" spans="1:11" ht="13" x14ac:dyDescent="0.3">
      <c r="A217" s="5" t="s">
        <v>10</v>
      </c>
      <c r="B217" s="5" t="s">
        <v>665</v>
      </c>
      <c r="C217" s="25" t="s">
        <v>324</v>
      </c>
      <c r="D217" s="8">
        <v>730.43</v>
      </c>
      <c r="E217" s="9">
        <v>950</v>
      </c>
      <c r="F217" s="29">
        <f t="shared" si="14"/>
        <v>0.30060375395315098</v>
      </c>
      <c r="G217" s="31">
        <f t="shared" si="20"/>
        <v>0.23112631578947374</v>
      </c>
      <c r="H217" s="31" t="str">
        <f>VLOOKUP(C217,'Maestro de Productos'!$G:$H,2,0)</f>
        <v>6x750</v>
      </c>
      <c r="I217" s="31"/>
      <c r="J217" s="10">
        <f t="shared" si="18"/>
        <v>940.5</v>
      </c>
      <c r="K217" s="31">
        <f t="shared" si="19"/>
        <v>0.22335991493886231</v>
      </c>
    </row>
    <row r="218" spans="1:11" ht="13" x14ac:dyDescent="0.3">
      <c r="A218" s="5" t="s">
        <v>10</v>
      </c>
      <c r="B218" s="5" t="s">
        <v>665</v>
      </c>
      <c r="C218" s="25" t="s">
        <v>325</v>
      </c>
      <c r="D218" s="8">
        <v>730.43</v>
      </c>
      <c r="E218" s="9">
        <v>950</v>
      </c>
      <c r="F218" s="29">
        <f>E218/D218-1</f>
        <v>0.30060375395315098</v>
      </c>
      <c r="G218" s="31">
        <f>IFERROR(1-D218/E218,0)</f>
        <v>0.23112631578947374</v>
      </c>
      <c r="H218" s="31" t="str">
        <f>VLOOKUP(C218,'Maestro de Productos'!$G:$H,2,0)</f>
        <v>6x750</v>
      </c>
      <c r="I218" s="31"/>
      <c r="J218" s="10">
        <f t="shared" si="18"/>
        <v>940.5</v>
      </c>
      <c r="K218" s="31">
        <f t="shared" si="19"/>
        <v>0.22335991493886231</v>
      </c>
    </row>
    <row r="219" spans="1:11" ht="13" x14ac:dyDescent="0.3">
      <c r="A219" s="5" t="s">
        <v>10</v>
      </c>
      <c r="B219" s="5" t="s">
        <v>665</v>
      </c>
      <c r="C219" s="26" t="s">
        <v>697</v>
      </c>
      <c r="D219" s="8">
        <v>457.08</v>
      </c>
      <c r="E219" s="9">
        <v>590</v>
      </c>
      <c r="F219" s="29">
        <f>E219/D219-1</f>
        <v>0.29080248534173458</v>
      </c>
      <c r="G219" s="31">
        <f>IFERROR(1-D219/E219,0)</f>
        <v>0.22528813559322036</v>
      </c>
      <c r="H219" s="31" t="str">
        <f>VLOOKUP(C219,'Maestro de Productos'!$G:$H,2,0)</f>
        <v>6x750</v>
      </c>
      <c r="I219" s="31"/>
      <c r="J219" s="10">
        <f t="shared" si="18"/>
        <v>584.1</v>
      </c>
      <c r="K219" s="31">
        <f t="shared" si="19"/>
        <v>0.2174627632254752</v>
      </c>
    </row>
    <row r="220" spans="1:11" ht="13" x14ac:dyDescent="0.3">
      <c r="A220" s="5" t="s">
        <v>10</v>
      </c>
      <c r="B220" s="5" t="s">
        <v>665</v>
      </c>
      <c r="C220" s="25" t="s">
        <v>698</v>
      </c>
      <c r="D220" s="8">
        <v>457.08</v>
      </c>
      <c r="E220" s="9">
        <v>590</v>
      </c>
      <c r="F220" s="29">
        <f>E220/D220-1</f>
        <v>0.29080248534173458</v>
      </c>
      <c r="G220" s="31">
        <f>IFERROR(1-D220/E220,0)</f>
        <v>0.22528813559322036</v>
      </c>
      <c r="H220" s="31" t="e">
        <f>VLOOKUP(C220,'Maestro de Productos'!$G:$H,2,0)</f>
        <v>#N/A</v>
      </c>
      <c r="I220" s="31"/>
      <c r="J220" s="10">
        <f t="shared" si="18"/>
        <v>584.1</v>
      </c>
      <c r="K220" s="31">
        <f t="shared" si="19"/>
        <v>0.2174627632254752</v>
      </c>
    </row>
    <row r="221" spans="1:11" ht="13" x14ac:dyDescent="0.3">
      <c r="A221" s="5" t="s">
        <v>10</v>
      </c>
      <c r="B221" s="5" t="s">
        <v>665</v>
      </c>
      <c r="C221" s="26" t="s">
        <v>699</v>
      </c>
      <c r="D221" s="8">
        <v>457.08</v>
      </c>
      <c r="E221" s="9">
        <v>590</v>
      </c>
      <c r="F221" s="29">
        <f t="shared" si="14"/>
        <v>0.29080248534173458</v>
      </c>
      <c r="G221" s="31">
        <f t="shared" si="20"/>
        <v>0.22528813559322036</v>
      </c>
      <c r="H221" s="31" t="str">
        <f>VLOOKUP(C221,'Maestro de Productos'!$G:$H,2,0)</f>
        <v>6x750</v>
      </c>
      <c r="I221" s="31"/>
      <c r="J221" s="10">
        <f t="shared" si="18"/>
        <v>584.1</v>
      </c>
      <c r="K221" s="31">
        <f t="shared" si="19"/>
        <v>0.2174627632254752</v>
      </c>
    </row>
    <row r="222" spans="1:11" ht="13" x14ac:dyDescent="0.3">
      <c r="A222" s="5" t="s">
        <v>10</v>
      </c>
      <c r="B222" s="5" t="s">
        <v>665</v>
      </c>
      <c r="C222" s="25" t="s">
        <v>328</v>
      </c>
      <c r="D222" s="8">
        <v>2445.3587715864755</v>
      </c>
      <c r="E222" s="9">
        <v>3190</v>
      </c>
      <c r="F222" s="29">
        <f t="shared" si="14"/>
        <v>0.30451205649894209</v>
      </c>
      <c r="G222" s="31">
        <f t="shared" si="20"/>
        <v>0.2334298521672491</v>
      </c>
      <c r="H222" s="31" t="str">
        <f>VLOOKUP(C222,'Maestro de Productos'!$G:$H,2,0)</f>
        <v>3x750</v>
      </c>
      <c r="I222" s="31"/>
      <c r="J222" s="10">
        <f t="shared" ref="J222:J247" si="21">E222*0.99</f>
        <v>3158.1</v>
      </c>
      <c r="K222" s="31">
        <f t="shared" si="19"/>
        <v>0.2256867193608576</v>
      </c>
    </row>
    <row r="223" spans="1:11" ht="13" x14ac:dyDescent="0.3">
      <c r="A223" s="5" t="s">
        <v>10</v>
      </c>
      <c r="B223" s="5" t="s">
        <v>665</v>
      </c>
      <c r="C223" s="6" t="s">
        <v>330</v>
      </c>
      <c r="D223" s="8">
        <v>2047.03</v>
      </c>
      <c r="E223" s="9">
        <v>2790</v>
      </c>
      <c r="F223" s="29">
        <f t="shared" si="14"/>
        <v>0.3629502254485768</v>
      </c>
      <c r="G223" s="31">
        <f t="shared" si="20"/>
        <v>0.26629749103942657</v>
      </c>
      <c r="H223" s="31" t="str">
        <f>VLOOKUP(C223,'Maestro de Productos'!$G:$H,2,0)</f>
        <v>4x750</v>
      </c>
      <c r="I223" s="31"/>
      <c r="J223" s="10">
        <f t="shared" si="21"/>
        <v>2762.1</v>
      </c>
      <c r="K223" s="31">
        <f t="shared" si="19"/>
        <v>0.25888635458527931</v>
      </c>
    </row>
    <row r="224" spans="1:11" ht="13" x14ac:dyDescent="0.3">
      <c r="A224" s="5" t="s">
        <v>10</v>
      </c>
      <c r="B224" s="5" t="s">
        <v>665</v>
      </c>
      <c r="C224" s="6" t="s">
        <v>332</v>
      </c>
      <c r="D224" s="8">
        <v>1345.2940000000003</v>
      </c>
      <c r="E224" s="9">
        <v>1790</v>
      </c>
      <c r="F224" s="29">
        <f t="shared" si="14"/>
        <v>0.33056417407644689</v>
      </c>
      <c r="G224" s="31">
        <f t="shared" si="20"/>
        <v>0.24843910614525122</v>
      </c>
      <c r="H224" s="31" t="str">
        <f>VLOOKUP(C224,'Maestro de Productos'!$G:$H,2,0)</f>
        <v>6x750</v>
      </c>
      <c r="I224" s="31"/>
      <c r="J224" s="10">
        <f t="shared" si="21"/>
        <v>1772.1</v>
      </c>
      <c r="K224" s="31">
        <f t="shared" si="19"/>
        <v>0.24084758196490019</v>
      </c>
    </row>
    <row r="225" spans="1:12" ht="13" x14ac:dyDescent="0.3">
      <c r="A225" s="5" t="s">
        <v>10</v>
      </c>
      <c r="B225" s="5" t="s">
        <v>665</v>
      </c>
      <c r="C225" s="6" t="s">
        <v>333</v>
      </c>
      <c r="D225" s="8">
        <v>1345.2940000000003</v>
      </c>
      <c r="E225" s="9">
        <v>1790</v>
      </c>
      <c r="F225" s="29">
        <f t="shared" si="14"/>
        <v>0.33056417407644689</v>
      </c>
      <c r="G225" s="31">
        <f t="shared" si="20"/>
        <v>0.24843910614525122</v>
      </c>
      <c r="H225" s="31" t="str">
        <f>VLOOKUP(C225,'Maestro de Productos'!$G:$H,2,0)</f>
        <v>6x750</v>
      </c>
      <c r="I225" s="31"/>
      <c r="J225" s="10">
        <f t="shared" si="21"/>
        <v>1772.1</v>
      </c>
      <c r="K225" s="31">
        <f t="shared" si="19"/>
        <v>0.24084758196490019</v>
      </c>
    </row>
    <row r="226" spans="1:12" ht="13" x14ac:dyDescent="0.3">
      <c r="A226" s="5" t="s">
        <v>10</v>
      </c>
      <c r="B226" s="5" t="s">
        <v>665</v>
      </c>
      <c r="C226" s="6" t="s">
        <v>334</v>
      </c>
      <c r="D226" s="8">
        <v>1345.2940000000003</v>
      </c>
      <c r="E226" s="9">
        <v>1790</v>
      </c>
      <c r="F226" s="29">
        <f t="shared" si="14"/>
        <v>0.33056417407644689</v>
      </c>
      <c r="G226" s="31">
        <f t="shared" si="20"/>
        <v>0.24843910614525122</v>
      </c>
      <c r="H226" s="31" t="str">
        <f>VLOOKUP(C226,'Maestro de Productos'!$G:$H,2,0)</f>
        <v>6x750</v>
      </c>
      <c r="I226" s="31"/>
      <c r="J226" s="10">
        <f t="shared" si="21"/>
        <v>1772.1</v>
      </c>
      <c r="K226" s="31">
        <f t="shared" si="19"/>
        <v>0.24084758196490019</v>
      </c>
    </row>
    <row r="227" spans="1:12" ht="13" x14ac:dyDescent="0.3">
      <c r="A227" s="5" t="s">
        <v>10</v>
      </c>
      <c r="B227" s="5" t="s">
        <v>665</v>
      </c>
      <c r="C227" s="6" t="s">
        <v>336</v>
      </c>
      <c r="D227" s="8">
        <v>1042.1099999999999</v>
      </c>
      <c r="E227" s="9">
        <v>1390</v>
      </c>
      <c r="F227" s="29">
        <f t="shared" si="14"/>
        <v>0.33383232096419779</v>
      </c>
      <c r="G227" s="31">
        <f t="shared" si="20"/>
        <v>0.2502805755395684</v>
      </c>
      <c r="H227" s="31" t="str">
        <f>VLOOKUP(C227,'Maestro de Productos'!$G:$H,2,0)</f>
        <v>6x750</v>
      </c>
      <c r="I227" s="31"/>
      <c r="J227" s="10">
        <f t="shared" si="21"/>
        <v>1376.1</v>
      </c>
      <c r="K227" s="31">
        <f t="shared" si="19"/>
        <v>0.24270765206017009</v>
      </c>
      <c r="L227" s="32"/>
    </row>
    <row r="228" spans="1:12" ht="13" x14ac:dyDescent="0.3">
      <c r="A228" s="5" t="s">
        <v>10</v>
      </c>
      <c r="B228" s="5" t="s">
        <v>665</v>
      </c>
      <c r="C228" s="6" t="s">
        <v>337</v>
      </c>
      <c r="D228" s="8">
        <v>1042.1099999999999</v>
      </c>
      <c r="E228" s="9">
        <v>1390</v>
      </c>
      <c r="F228" s="29">
        <f t="shared" si="14"/>
        <v>0.33383232096419779</v>
      </c>
      <c r="G228" s="31">
        <f t="shared" si="20"/>
        <v>0.2502805755395684</v>
      </c>
      <c r="H228" s="31" t="e">
        <f>VLOOKUP(C228,'Maestro de Productos'!$G:$H,2,0)</f>
        <v>#N/A</v>
      </c>
      <c r="I228" s="31"/>
      <c r="J228" s="10">
        <f t="shared" si="21"/>
        <v>1376.1</v>
      </c>
      <c r="K228" s="31">
        <f t="shared" si="19"/>
        <v>0.24270765206017009</v>
      </c>
      <c r="L228" s="32"/>
    </row>
    <row r="229" spans="1:12" ht="13" x14ac:dyDescent="0.3">
      <c r="A229" s="5" t="s">
        <v>10</v>
      </c>
      <c r="B229" s="5" t="s">
        <v>665</v>
      </c>
      <c r="C229" s="6" t="s">
        <v>338</v>
      </c>
      <c r="D229" s="8">
        <v>1042.1099999999999</v>
      </c>
      <c r="E229" s="9">
        <v>1390</v>
      </c>
      <c r="F229" s="29">
        <f t="shared" si="14"/>
        <v>0.33383232096419779</v>
      </c>
      <c r="G229" s="31">
        <f t="shared" si="20"/>
        <v>0.2502805755395684</v>
      </c>
      <c r="H229" s="31" t="str">
        <f>VLOOKUP(C229,'Maestro de Productos'!$G:$H,2,0)</f>
        <v>6x750</v>
      </c>
      <c r="I229" s="31"/>
      <c r="J229" s="10">
        <f t="shared" si="21"/>
        <v>1376.1</v>
      </c>
      <c r="K229" s="31">
        <f t="shared" si="19"/>
        <v>0.24270765206017009</v>
      </c>
      <c r="L229" s="32"/>
    </row>
    <row r="230" spans="1:12" ht="13" x14ac:dyDescent="0.3">
      <c r="A230" s="5" t="s">
        <v>10</v>
      </c>
      <c r="B230" s="5" t="s">
        <v>665</v>
      </c>
      <c r="C230" s="6" t="s">
        <v>339</v>
      </c>
      <c r="D230" s="8">
        <v>833.56100000000026</v>
      </c>
      <c r="E230" s="9">
        <v>1090</v>
      </c>
      <c r="F230" s="29">
        <f t="shared" si="14"/>
        <v>0.30764275200015323</v>
      </c>
      <c r="G230" s="31">
        <f t="shared" si="20"/>
        <v>0.23526513761467871</v>
      </c>
      <c r="H230" s="31" t="str">
        <f>VLOOKUP(C230,'Maestro de Productos'!$G:$H,2,0)</f>
        <v>6x750</v>
      </c>
      <c r="I230" s="31"/>
      <c r="J230" s="10">
        <f t="shared" si="21"/>
        <v>1079.0999999999999</v>
      </c>
      <c r="K230" s="31">
        <f t="shared" si="19"/>
        <v>0.22754054304512994</v>
      </c>
      <c r="L230" s="32"/>
    </row>
    <row r="231" spans="1:12" ht="13" x14ac:dyDescent="0.3">
      <c r="A231" s="5" t="s">
        <v>10</v>
      </c>
      <c r="B231" s="5" t="s">
        <v>665</v>
      </c>
      <c r="C231" s="6" t="s">
        <v>340</v>
      </c>
      <c r="D231" s="8">
        <v>833.56100000000026</v>
      </c>
      <c r="E231" s="9">
        <v>1090</v>
      </c>
      <c r="F231" s="29">
        <f t="shared" si="14"/>
        <v>0.30764275200015323</v>
      </c>
      <c r="G231" s="31">
        <f t="shared" si="20"/>
        <v>0.23526513761467871</v>
      </c>
      <c r="H231" s="31" t="e">
        <f>VLOOKUP(C231,'Maestro de Productos'!$G:$H,2,0)</f>
        <v>#N/A</v>
      </c>
      <c r="I231" s="31"/>
      <c r="J231" s="10">
        <f t="shared" si="21"/>
        <v>1079.0999999999999</v>
      </c>
      <c r="K231" s="31">
        <f t="shared" si="19"/>
        <v>0.22754054304512994</v>
      </c>
      <c r="L231" s="32"/>
    </row>
    <row r="232" spans="1:12" ht="13" x14ac:dyDescent="0.3">
      <c r="A232" s="5" t="s">
        <v>10</v>
      </c>
      <c r="B232" s="5" t="s">
        <v>665</v>
      </c>
      <c r="C232" s="6" t="s">
        <v>341</v>
      </c>
      <c r="D232" s="8">
        <v>833.56100000000026</v>
      </c>
      <c r="E232" s="9">
        <v>1090</v>
      </c>
      <c r="F232" s="29">
        <f t="shared" si="14"/>
        <v>0.30764275200015323</v>
      </c>
      <c r="G232" s="31">
        <f t="shared" si="20"/>
        <v>0.23526513761467871</v>
      </c>
      <c r="H232" s="31" t="str">
        <f>VLOOKUP(C232,'Maestro de Productos'!$G:$H,2,0)</f>
        <v>4x750</v>
      </c>
      <c r="I232" s="31"/>
      <c r="J232" s="10">
        <f t="shared" si="21"/>
        <v>1079.0999999999999</v>
      </c>
      <c r="K232" s="31">
        <f t="shared" si="19"/>
        <v>0.22754054304512994</v>
      </c>
      <c r="L232" s="32"/>
    </row>
    <row r="233" spans="1:12" ht="13" x14ac:dyDescent="0.3">
      <c r="A233" s="5" t="s">
        <v>10</v>
      </c>
      <c r="B233" s="5" t="s">
        <v>665</v>
      </c>
      <c r="C233" s="6" t="s">
        <v>342</v>
      </c>
      <c r="D233" s="8">
        <v>833.56100000000026</v>
      </c>
      <c r="E233" s="9">
        <v>1090</v>
      </c>
      <c r="F233" s="29">
        <f t="shared" si="14"/>
        <v>0.30764275200015323</v>
      </c>
      <c r="G233" s="31">
        <f t="shared" si="20"/>
        <v>0.23526513761467871</v>
      </c>
      <c r="H233" s="31" t="str">
        <f>VLOOKUP(C233,'Maestro de Productos'!$G:$H,2,0)</f>
        <v>4x750</v>
      </c>
      <c r="I233" s="31"/>
      <c r="J233" s="10">
        <f t="shared" si="21"/>
        <v>1079.0999999999999</v>
      </c>
      <c r="K233" s="31">
        <f t="shared" si="19"/>
        <v>0.22754054304512994</v>
      </c>
      <c r="L233" s="32"/>
    </row>
    <row r="234" spans="1:12" ht="13" x14ac:dyDescent="0.3">
      <c r="A234" s="5" t="s">
        <v>10</v>
      </c>
      <c r="B234" s="5" t="s">
        <v>665</v>
      </c>
      <c r="C234" s="6" t="s">
        <v>344</v>
      </c>
      <c r="D234" s="8">
        <v>2134.2109709007414</v>
      </c>
      <c r="E234" s="9">
        <v>2890</v>
      </c>
      <c r="F234" s="29">
        <f t="shared" si="14"/>
        <v>0.35413042075230217</v>
      </c>
      <c r="G234" s="31">
        <f t="shared" si="20"/>
        <v>0.26151869519005488</v>
      </c>
      <c r="H234" s="31" t="str">
        <f>VLOOKUP(C234,'Maestro de Productos'!$G:$H,2,0)</f>
        <v>6x750</v>
      </c>
      <c r="I234" s="31"/>
      <c r="J234" s="10">
        <f t="shared" si="21"/>
        <v>2861.1</v>
      </c>
      <c r="K234" s="31">
        <f t="shared" si="19"/>
        <v>0.2540592880707625</v>
      </c>
      <c r="L234" s="32"/>
    </row>
    <row r="235" spans="1:12" ht="13" x14ac:dyDescent="0.3">
      <c r="A235" s="5" t="s">
        <v>10</v>
      </c>
      <c r="B235" s="5" t="s">
        <v>665</v>
      </c>
      <c r="C235" s="6" t="s">
        <v>345</v>
      </c>
      <c r="D235" s="8">
        <v>1856.6612895378801</v>
      </c>
      <c r="E235" s="9">
        <v>2490</v>
      </c>
      <c r="F235" s="29">
        <f t="shared" si="14"/>
        <v>0.34111698995984185</v>
      </c>
      <c r="G235" s="31">
        <f t="shared" si="20"/>
        <v>0.25435289576791964</v>
      </c>
      <c r="H235" s="31" t="str">
        <f>VLOOKUP(C235,'Maestro de Productos'!$G:$H,2,0)</f>
        <v>6x750</v>
      </c>
      <c r="I235" s="31"/>
      <c r="J235" s="10">
        <f t="shared" si="21"/>
        <v>2465.1</v>
      </c>
      <c r="K235" s="31">
        <f t="shared" si="19"/>
        <v>0.24682110683628244</v>
      </c>
      <c r="L235" s="32"/>
    </row>
    <row r="236" spans="1:12" ht="13" x14ac:dyDescent="0.3">
      <c r="A236" s="5" t="s">
        <v>10</v>
      </c>
      <c r="B236" s="5" t="s">
        <v>665</v>
      </c>
      <c r="C236" s="4" t="s">
        <v>346</v>
      </c>
      <c r="D236" s="8">
        <v>1186.74</v>
      </c>
      <c r="E236" s="9">
        <v>1590</v>
      </c>
      <c r="F236" s="29">
        <f t="shared" si="14"/>
        <v>0.33980484352090601</v>
      </c>
      <c r="G236" s="31">
        <f t="shared" si="20"/>
        <v>0.25362264150943392</v>
      </c>
      <c r="H236" s="31" t="str">
        <f>VLOOKUP(C236,'Maestro de Productos'!$G:$H,2,0)</f>
        <v>6x750</v>
      </c>
      <c r="I236" s="31"/>
      <c r="J236" s="10">
        <f t="shared" si="21"/>
        <v>1574.1</v>
      </c>
      <c r="K236" s="31">
        <f t="shared" si="19"/>
        <v>0.24608347627215543</v>
      </c>
      <c r="L236" s="32"/>
    </row>
    <row r="237" spans="1:12" ht="13" x14ac:dyDescent="0.3">
      <c r="A237" s="5" t="s">
        <v>10</v>
      </c>
      <c r="B237" s="5" t="s">
        <v>665</v>
      </c>
      <c r="C237" s="6" t="s">
        <v>348</v>
      </c>
      <c r="D237" s="8">
        <v>792.19</v>
      </c>
      <c r="E237" s="9">
        <v>1050</v>
      </c>
      <c r="F237" s="29">
        <f t="shared" si="14"/>
        <v>0.32543960413537154</v>
      </c>
      <c r="G237" s="31">
        <f t="shared" si="20"/>
        <v>0.24553333333333327</v>
      </c>
      <c r="H237" s="31" t="e">
        <f>VLOOKUP(C237,'Maestro de Productos'!$G:$H,2,0)</f>
        <v>#N/A</v>
      </c>
      <c r="I237" s="31"/>
      <c r="J237" s="10">
        <f t="shared" si="21"/>
        <v>1039.5</v>
      </c>
      <c r="K237" s="31">
        <f t="shared" si="19"/>
        <v>0.23791245791245785</v>
      </c>
      <c r="L237" s="32"/>
    </row>
    <row r="238" spans="1:12" ht="13" x14ac:dyDescent="0.3">
      <c r="A238" s="5" t="s">
        <v>10</v>
      </c>
      <c r="B238" s="5" t="s">
        <v>665</v>
      </c>
      <c r="C238" s="6" t="s">
        <v>349</v>
      </c>
      <c r="D238" s="8">
        <v>792.19</v>
      </c>
      <c r="E238" s="9">
        <v>1050</v>
      </c>
      <c r="F238" s="29">
        <f t="shared" si="14"/>
        <v>0.32543960413537154</v>
      </c>
      <c r="G238" s="31">
        <f t="shared" si="20"/>
        <v>0.24553333333333327</v>
      </c>
      <c r="H238" s="31" t="str">
        <f>VLOOKUP(C238,'Maestro de Productos'!$G:$H,2,0)</f>
        <v>6x750</v>
      </c>
      <c r="I238" s="31"/>
      <c r="J238" s="10">
        <f t="shared" si="21"/>
        <v>1039.5</v>
      </c>
      <c r="K238" s="31">
        <f t="shared" si="19"/>
        <v>0.23791245791245785</v>
      </c>
      <c r="L238" s="32"/>
    </row>
    <row r="239" spans="1:12" ht="13" x14ac:dyDescent="0.3">
      <c r="A239" s="5" t="s">
        <v>10</v>
      </c>
      <c r="B239" s="5" t="s">
        <v>665</v>
      </c>
      <c r="C239" s="6" t="s">
        <v>351</v>
      </c>
      <c r="D239" s="8">
        <v>609.66</v>
      </c>
      <c r="E239" s="9">
        <v>790</v>
      </c>
      <c r="F239" s="29">
        <f t="shared" si="14"/>
        <v>0.29580421874487417</v>
      </c>
      <c r="G239" s="31">
        <f t="shared" si="20"/>
        <v>0.22827848101265824</v>
      </c>
      <c r="H239" s="31" t="str">
        <f>VLOOKUP(C239,'Maestro de Productos'!$G:$H,2,0)</f>
        <v>6x750</v>
      </c>
      <c r="I239" s="31"/>
      <c r="J239" s="10">
        <f t="shared" si="21"/>
        <v>782.1</v>
      </c>
      <c r="K239" s="31">
        <f t="shared" si="19"/>
        <v>0.2204833141542003</v>
      </c>
      <c r="L239" s="32"/>
    </row>
    <row r="240" spans="1:12" ht="13" x14ac:dyDescent="0.3">
      <c r="A240" s="5" t="s">
        <v>10</v>
      </c>
      <c r="B240" s="5" t="s">
        <v>665</v>
      </c>
      <c r="C240" s="6" t="s">
        <v>352</v>
      </c>
      <c r="D240" s="8">
        <v>609.66</v>
      </c>
      <c r="E240" s="9">
        <v>790</v>
      </c>
      <c r="F240" s="29">
        <f t="shared" si="14"/>
        <v>0.29580421874487417</v>
      </c>
      <c r="G240" s="31">
        <f t="shared" si="20"/>
        <v>0.22827848101265824</v>
      </c>
      <c r="H240" s="31" t="e">
        <f>VLOOKUP(C240,'Maestro de Productos'!$G:$H,2,0)</f>
        <v>#N/A</v>
      </c>
      <c r="I240" s="31"/>
      <c r="J240" s="10">
        <f t="shared" si="21"/>
        <v>782.1</v>
      </c>
      <c r="K240" s="31">
        <f t="shared" si="19"/>
        <v>0.2204833141542003</v>
      </c>
      <c r="L240" s="32"/>
    </row>
    <row r="241" spans="1:12" ht="13" x14ac:dyDescent="0.3">
      <c r="A241" s="5" t="s">
        <v>10</v>
      </c>
      <c r="B241" s="5" t="s">
        <v>665</v>
      </c>
      <c r="C241" s="6" t="s">
        <v>353</v>
      </c>
      <c r="D241" s="8">
        <v>609.66</v>
      </c>
      <c r="E241" s="9">
        <v>790</v>
      </c>
      <c r="F241" s="29">
        <f t="shared" si="14"/>
        <v>0.29580421874487417</v>
      </c>
      <c r="G241" s="31">
        <f t="shared" si="20"/>
        <v>0.22827848101265824</v>
      </c>
      <c r="H241" s="31" t="str">
        <f>VLOOKUP(C241,'Maestro de Productos'!$G:$H,2,0)</f>
        <v>6x750</v>
      </c>
      <c r="I241" s="31"/>
      <c r="J241" s="10">
        <f t="shared" si="21"/>
        <v>782.1</v>
      </c>
      <c r="K241" s="31">
        <f t="shared" si="19"/>
        <v>0.2204833141542003</v>
      </c>
      <c r="L241" s="32"/>
    </row>
    <row r="242" spans="1:12" ht="13" x14ac:dyDescent="0.3">
      <c r="A242" s="5" t="s">
        <v>10</v>
      </c>
      <c r="B242" s="5" t="s">
        <v>665</v>
      </c>
      <c r="C242" s="6" t="s">
        <v>355</v>
      </c>
      <c r="D242" s="8">
        <v>609.66</v>
      </c>
      <c r="E242" s="9">
        <v>790</v>
      </c>
      <c r="F242" s="29">
        <f t="shared" ref="F242:F322" si="22">E242/D242-1</f>
        <v>0.29580421874487417</v>
      </c>
      <c r="G242" s="31">
        <f t="shared" si="20"/>
        <v>0.22827848101265824</v>
      </c>
      <c r="H242" s="31" t="str">
        <f>VLOOKUP(C242,'Maestro de Productos'!$G:$H,2,0)</f>
        <v>6x750</v>
      </c>
      <c r="I242" s="31"/>
      <c r="J242" s="10">
        <f t="shared" si="21"/>
        <v>782.1</v>
      </c>
      <c r="K242" s="31">
        <f t="shared" si="19"/>
        <v>0.2204833141542003</v>
      </c>
      <c r="L242" s="32"/>
    </row>
    <row r="243" spans="1:12" ht="13" x14ac:dyDescent="0.3">
      <c r="A243" s="5" t="s">
        <v>10</v>
      </c>
      <c r="B243" s="5" t="s">
        <v>665</v>
      </c>
      <c r="C243" s="6" t="s">
        <v>357</v>
      </c>
      <c r="D243" s="8">
        <v>1116.68</v>
      </c>
      <c r="E243" s="9">
        <v>1650</v>
      </c>
      <c r="F243" s="29">
        <f t="shared" si="22"/>
        <v>0.4775942973815237</v>
      </c>
      <c r="G243" s="31">
        <f t="shared" si="20"/>
        <v>0.32322424242424241</v>
      </c>
      <c r="H243" s="31" t="str">
        <f>VLOOKUP(C243,'Maestro de Productos'!$G:$H,2,0)</f>
        <v>6x750</v>
      </c>
      <c r="I243" s="31"/>
      <c r="J243" s="10">
        <f t="shared" si="21"/>
        <v>1633.5</v>
      </c>
      <c r="K243" s="31">
        <f t="shared" si="19"/>
        <v>0.3163881236608509</v>
      </c>
      <c r="L243" s="32"/>
    </row>
    <row r="244" spans="1:12" ht="13" x14ac:dyDescent="0.3">
      <c r="A244" s="5" t="s">
        <v>10</v>
      </c>
      <c r="B244" s="5" t="s">
        <v>665</v>
      </c>
      <c r="C244" s="6" t="s">
        <v>358</v>
      </c>
      <c r="D244" s="8">
        <v>1116.68</v>
      </c>
      <c r="E244" s="9">
        <v>1650</v>
      </c>
      <c r="F244" s="29">
        <f t="shared" si="22"/>
        <v>0.4775942973815237</v>
      </c>
      <c r="G244" s="31">
        <f t="shared" si="20"/>
        <v>0.32322424242424241</v>
      </c>
      <c r="H244" s="31" t="e">
        <f>VLOOKUP(C244,'Maestro de Productos'!$G:$H,2,0)</f>
        <v>#N/A</v>
      </c>
      <c r="I244" s="31"/>
      <c r="J244" s="10">
        <f t="shared" si="21"/>
        <v>1633.5</v>
      </c>
      <c r="K244" s="31">
        <f t="shared" si="19"/>
        <v>0.3163881236608509</v>
      </c>
      <c r="L244" s="32"/>
    </row>
    <row r="245" spans="1:12" ht="13" x14ac:dyDescent="0.3">
      <c r="A245" s="5" t="s">
        <v>10</v>
      </c>
      <c r="B245" s="5" t="s">
        <v>665</v>
      </c>
      <c r="C245" s="6" t="s">
        <v>360</v>
      </c>
      <c r="D245" s="8">
        <v>1785.9718626827619</v>
      </c>
      <c r="E245" s="9">
        <v>2390</v>
      </c>
      <c r="F245" s="29">
        <f t="shared" si="22"/>
        <v>0.33820697287465062</v>
      </c>
      <c r="G245" s="31">
        <f t="shared" si="20"/>
        <v>0.25273143820804944</v>
      </c>
      <c r="H245" s="31" t="str">
        <f>VLOOKUP(C245,'Maestro de Productos'!$G:$H,2,0)</f>
        <v>6x750</v>
      </c>
      <c r="I245" s="31"/>
      <c r="J245" s="10">
        <f t="shared" si="21"/>
        <v>2366.1</v>
      </c>
      <c r="K245" s="31">
        <f t="shared" si="19"/>
        <v>0.24518327091722159</v>
      </c>
      <c r="L245" s="32"/>
    </row>
    <row r="246" spans="1:12" ht="13" x14ac:dyDescent="0.3">
      <c r="A246" s="5" t="s">
        <v>10</v>
      </c>
      <c r="B246" s="5" t="s">
        <v>665</v>
      </c>
      <c r="C246" s="4" t="s">
        <v>363</v>
      </c>
      <c r="D246" s="8">
        <v>4310.7960000000003</v>
      </c>
      <c r="E246" s="9">
        <v>12990</v>
      </c>
      <c r="F246" s="29">
        <f t="shared" si="22"/>
        <v>2.0133645851021478</v>
      </c>
      <c r="G246" s="31">
        <f t="shared" si="20"/>
        <v>0.66814503464203234</v>
      </c>
      <c r="H246" s="31" t="str">
        <f>VLOOKUP(C246,'Maestro de Productos'!$G:$H,2,0)</f>
        <v>1x750</v>
      </c>
      <c r="I246" s="31"/>
      <c r="J246" s="10">
        <f t="shared" si="21"/>
        <v>12860.1</v>
      </c>
      <c r="K246" s="31">
        <f t="shared" si="19"/>
        <v>0.6647929642848811</v>
      </c>
      <c r="L246" s="32"/>
    </row>
    <row r="247" spans="1:12" ht="13" x14ac:dyDescent="0.3">
      <c r="A247" s="5" t="s">
        <v>354</v>
      </c>
      <c r="B247" s="5" t="s">
        <v>665</v>
      </c>
      <c r="C247" s="6" t="s">
        <v>365</v>
      </c>
      <c r="D247" s="8">
        <v>743.15</v>
      </c>
      <c r="E247" s="9">
        <v>990</v>
      </c>
      <c r="F247" s="29">
        <f t="shared" si="22"/>
        <v>0.33216712642131463</v>
      </c>
      <c r="G247" s="31">
        <f t="shared" si="20"/>
        <v>0.24934343434343431</v>
      </c>
      <c r="H247" s="31" t="str">
        <f>VLOOKUP(C247,'Maestro de Productos'!$G:$H,2,0)</f>
        <v>6x750</v>
      </c>
      <c r="I247" s="31"/>
      <c r="J247" s="10">
        <f t="shared" si="21"/>
        <v>980.1</v>
      </c>
      <c r="K247" s="31">
        <f t="shared" si="19"/>
        <v>0.24176104479134786</v>
      </c>
      <c r="L247" s="32"/>
    </row>
    <row r="248" spans="1:12" ht="13" x14ac:dyDescent="0.3">
      <c r="A248" s="14" t="s">
        <v>10</v>
      </c>
      <c r="B248" s="5" t="s">
        <v>665</v>
      </c>
      <c r="C248" s="6" t="s">
        <v>367</v>
      </c>
      <c r="D248" s="8">
        <v>290</v>
      </c>
      <c r="E248" s="9">
        <v>550</v>
      </c>
      <c r="F248" s="29">
        <f t="shared" si="22"/>
        <v>0.89655172413793105</v>
      </c>
      <c r="G248" s="31">
        <f t="shared" si="20"/>
        <v>0.47272727272727277</v>
      </c>
      <c r="H248" s="31" t="str">
        <f>VLOOKUP(C248,'Maestro de Productos'!$G:$H,2,0)</f>
        <v>6x750</v>
      </c>
      <c r="I248" s="31"/>
      <c r="J248" s="34">
        <f t="shared" ref="J248:J256" si="23">E248*0.95</f>
        <v>522.5</v>
      </c>
      <c r="K248" s="31">
        <f t="shared" si="19"/>
        <v>0.44497607655502391</v>
      </c>
      <c r="L248" s="32"/>
    </row>
    <row r="249" spans="1:12" ht="13" x14ac:dyDescent="0.3">
      <c r="A249" s="5" t="s">
        <v>10</v>
      </c>
      <c r="B249" s="5" t="s">
        <v>665</v>
      </c>
      <c r="C249" s="6" t="s">
        <v>368</v>
      </c>
      <c r="D249" s="8">
        <v>346</v>
      </c>
      <c r="E249" s="9">
        <v>650</v>
      </c>
      <c r="F249" s="29">
        <f t="shared" si="22"/>
        <v>0.87861271676300579</v>
      </c>
      <c r="G249" s="31">
        <f t="shared" si="20"/>
        <v>0.46769230769230774</v>
      </c>
      <c r="H249" s="31" t="str">
        <f>VLOOKUP(C249,'Maestro de Productos'!$G:$H,2,0)</f>
        <v>6x750</v>
      </c>
      <c r="I249" s="31"/>
      <c r="J249" s="34">
        <f t="shared" si="23"/>
        <v>617.5</v>
      </c>
      <c r="K249" s="31">
        <f t="shared" si="19"/>
        <v>0.43967611336032386</v>
      </c>
      <c r="L249" s="32"/>
    </row>
    <row r="250" spans="1:12" ht="13" x14ac:dyDescent="0.3">
      <c r="A250" s="5" t="s">
        <v>10</v>
      </c>
      <c r="B250" s="5" t="s">
        <v>665</v>
      </c>
      <c r="C250" s="6" t="s">
        <v>369</v>
      </c>
      <c r="D250" s="8">
        <v>378</v>
      </c>
      <c r="E250" s="9">
        <v>690</v>
      </c>
      <c r="F250" s="29">
        <f t="shared" si="22"/>
        <v>0.82539682539682535</v>
      </c>
      <c r="G250" s="31">
        <f t="shared" si="20"/>
        <v>0.45217391304347831</v>
      </c>
      <c r="H250" s="31" t="str">
        <f>VLOOKUP(C250,'Maestro de Productos'!$G:$H,2,0)</f>
        <v>6x750</v>
      </c>
      <c r="I250" s="31"/>
      <c r="J250" s="34">
        <f t="shared" si="23"/>
        <v>655.5</v>
      </c>
      <c r="K250" s="31">
        <f t="shared" si="19"/>
        <v>0.42334096109839814</v>
      </c>
      <c r="L250" s="32"/>
    </row>
    <row r="251" spans="1:12" ht="13" x14ac:dyDescent="0.3">
      <c r="A251" s="5" t="s">
        <v>10</v>
      </c>
      <c r="B251" s="5" t="s">
        <v>665</v>
      </c>
      <c r="C251" s="6" t="s">
        <v>370</v>
      </c>
      <c r="D251" s="8">
        <v>378</v>
      </c>
      <c r="E251" s="9">
        <v>690</v>
      </c>
      <c r="F251" s="29">
        <f t="shared" si="22"/>
        <v>0.82539682539682535</v>
      </c>
      <c r="G251" s="31">
        <f t="shared" si="20"/>
        <v>0.45217391304347831</v>
      </c>
      <c r="H251" s="31" t="str">
        <f>VLOOKUP(C251,'Maestro de Productos'!$G:$H,2,0)</f>
        <v>6x750</v>
      </c>
      <c r="I251" s="31"/>
      <c r="J251" s="34">
        <f t="shared" si="23"/>
        <v>655.5</v>
      </c>
      <c r="K251" s="31">
        <f t="shared" si="19"/>
        <v>0.42334096109839814</v>
      </c>
      <c r="L251" s="32"/>
    </row>
    <row r="252" spans="1:12" ht="13" x14ac:dyDescent="0.3">
      <c r="A252" s="5" t="s">
        <v>10</v>
      </c>
      <c r="B252" s="5" t="s">
        <v>665</v>
      </c>
      <c r="C252" s="6" t="s">
        <v>371</v>
      </c>
      <c r="D252" s="8">
        <v>476</v>
      </c>
      <c r="E252" s="9">
        <v>850</v>
      </c>
      <c r="F252" s="29">
        <f t="shared" si="22"/>
        <v>0.78571428571428581</v>
      </c>
      <c r="G252" s="31">
        <f t="shared" si="20"/>
        <v>0.43999999999999995</v>
      </c>
      <c r="H252" s="31" t="str">
        <f>VLOOKUP(C252,'Maestro de Productos'!$G:$H,2,0)</f>
        <v>6x750</v>
      </c>
      <c r="I252" s="31"/>
      <c r="J252" s="34">
        <f t="shared" si="23"/>
        <v>807.5</v>
      </c>
      <c r="K252" s="31">
        <f t="shared" si="19"/>
        <v>0.41052631578947374</v>
      </c>
      <c r="L252" s="32"/>
    </row>
    <row r="253" spans="1:12" ht="13" x14ac:dyDescent="0.3">
      <c r="A253" s="5" t="s">
        <v>10</v>
      </c>
      <c r="B253" s="5" t="s">
        <v>665</v>
      </c>
      <c r="C253" s="25" t="s">
        <v>372</v>
      </c>
      <c r="D253" s="8">
        <v>476</v>
      </c>
      <c r="E253" s="9">
        <v>850</v>
      </c>
      <c r="F253" s="29">
        <f t="shared" si="22"/>
        <v>0.78571428571428581</v>
      </c>
      <c r="G253" s="31">
        <f t="shared" si="20"/>
        <v>0.43999999999999995</v>
      </c>
      <c r="H253" s="31" t="str">
        <f>VLOOKUP(C253,'Maestro de Productos'!$G:$H,2,0)</f>
        <v>6x750</v>
      </c>
      <c r="I253" s="31"/>
      <c r="J253" s="34">
        <f t="shared" si="23"/>
        <v>807.5</v>
      </c>
      <c r="K253" s="31">
        <f t="shared" si="19"/>
        <v>0.41052631578947374</v>
      </c>
      <c r="L253" s="32"/>
    </row>
    <row r="254" spans="1:12" ht="13" x14ac:dyDescent="0.3">
      <c r="A254" s="5" t="s">
        <v>10</v>
      </c>
      <c r="B254" s="5" t="s">
        <v>665</v>
      </c>
      <c r="C254" s="26" t="s">
        <v>700</v>
      </c>
      <c r="D254" s="8">
        <v>1211</v>
      </c>
      <c r="E254" s="9">
        <v>2590</v>
      </c>
      <c r="F254" s="29">
        <f t="shared" si="22"/>
        <v>1.1387283236994219</v>
      </c>
      <c r="G254" s="31">
        <f t="shared" si="20"/>
        <v>0.53243243243243243</v>
      </c>
      <c r="H254" s="31" t="str">
        <f>VLOOKUP(C254,'Maestro de Productos'!$G:$H,2,0)</f>
        <v>6x750</v>
      </c>
      <c r="I254" s="31"/>
      <c r="J254" s="34">
        <f t="shared" si="23"/>
        <v>2460.5</v>
      </c>
      <c r="K254" s="31">
        <f t="shared" si="19"/>
        <v>0.50782361308677104</v>
      </c>
      <c r="L254" s="32"/>
    </row>
    <row r="255" spans="1:12" ht="13" x14ac:dyDescent="0.3">
      <c r="A255" s="5" t="s">
        <v>354</v>
      </c>
      <c r="B255" s="5" t="s">
        <v>665</v>
      </c>
      <c r="C255" s="25" t="s">
        <v>373</v>
      </c>
      <c r="D255" s="8">
        <v>378</v>
      </c>
      <c r="E255" s="9">
        <v>690</v>
      </c>
      <c r="F255" s="29">
        <f>E255/D255-1</f>
        <v>0.82539682539682535</v>
      </c>
      <c r="G255" s="31">
        <f t="shared" si="20"/>
        <v>0.45217391304347831</v>
      </c>
      <c r="H255" s="31" t="str">
        <f>VLOOKUP(C255,'Maestro de Productos'!$G:$H,2,0)</f>
        <v>6x750</v>
      </c>
      <c r="I255" s="31"/>
      <c r="J255" s="34">
        <f t="shared" si="23"/>
        <v>655.5</v>
      </c>
      <c r="K255" s="31">
        <f t="shared" si="19"/>
        <v>0.42334096109839814</v>
      </c>
      <c r="L255" s="32"/>
    </row>
    <row r="256" spans="1:12" ht="13" x14ac:dyDescent="0.3">
      <c r="A256" s="5" t="s">
        <v>354</v>
      </c>
      <c r="B256" s="5" t="s">
        <v>665</v>
      </c>
      <c r="C256" s="26" t="s">
        <v>701</v>
      </c>
      <c r="D256" s="8">
        <f>478.1*10/11*1.24</f>
        <v>538.94909090909084</v>
      </c>
      <c r="E256" s="9">
        <v>790</v>
      </c>
      <c r="F256" s="29">
        <f>E256/D256-1</f>
        <v>0.4658156277199399</v>
      </c>
      <c r="G256" s="31">
        <f t="shared" si="20"/>
        <v>0.31778596087456856</v>
      </c>
      <c r="H256" s="31" t="str">
        <f>VLOOKUP(C256,'Maestro de Productos'!$G:$H,2,0)</f>
        <v>6x750</v>
      </c>
      <c r="I256" s="31"/>
      <c r="J256" s="34">
        <f t="shared" si="23"/>
        <v>750.5</v>
      </c>
      <c r="K256" s="31">
        <f t="shared" si="19"/>
        <v>0.28187995881533534</v>
      </c>
      <c r="L256" s="32"/>
    </row>
    <row r="257" spans="1:12" ht="13" x14ac:dyDescent="0.3">
      <c r="A257" s="5" t="s">
        <v>354</v>
      </c>
      <c r="B257" s="5" t="s">
        <v>665</v>
      </c>
      <c r="C257" s="26" t="s">
        <v>375</v>
      </c>
      <c r="D257" s="35">
        <f>895*0.5*5/6*0.9</f>
        <v>335.625</v>
      </c>
      <c r="E257" s="9">
        <v>500</v>
      </c>
      <c r="F257" s="29">
        <f t="shared" si="22"/>
        <v>0.48975791433891991</v>
      </c>
      <c r="G257" s="31">
        <f t="shared" si="20"/>
        <v>0.32874999999999999</v>
      </c>
      <c r="H257" s="31" t="str">
        <f>VLOOKUP(C257,'Maestro de Productos'!$G:$H,2,0)</f>
        <v>6x750</v>
      </c>
      <c r="I257" s="31"/>
      <c r="J257" s="10">
        <f t="shared" ref="J257:J288" si="24">E257*0.99</f>
        <v>495</v>
      </c>
      <c r="K257" s="31">
        <f t="shared" si="19"/>
        <v>0.32196969696969702</v>
      </c>
      <c r="L257" s="32"/>
    </row>
    <row r="258" spans="1:12" ht="13" x14ac:dyDescent="0.3">
      <c r="A258" s="5" t="s">
        <v>354</v>
      </c>
      <c r="B258" s="5" t="s">
        <v>665</v>
      </c>
      <c r="C258" s="26" t="s">
        <v>650</v>
      </c>
      <c r="D258" s="8">
        <v>650</v>
      </c>
      <c r="E258" s="9">
        <v>850</v>
      </c>
      <c r="F258" s="29">
        <f t="shared" si="22"/>
        <v>0.30769230769230771</v>
      </c>
      <c r="G258" s="31">
        <f t="shared" si="20"/>
        <v>0.23529411764705888</v>
      </c>
      <c r="H258" s="31" t="str">
        <f>VLOOKUP(C258,'Maestro de Productos'!$G:$H,2,0)</f>
        <v>6x750</v>
      </c>
      <c r="I258" s="31"/>
      <c r="J258" s="10">
        <f t="shared" si="24"/>
        <v>841.5</v>
      </c>
      <c r="K258" s="31">
        <f t="shared" ref="K258:K321" si="25">IFERROR(1-D258/J258,0)</f>
        <v>0.22756981580510993</v>
      </c>
      <c r="L258" s="32"/>
    </row>
    <row r="259" spans="1:12" ht="13" x14ac:dyDescent="0.3">
      <c r="A259" s="5" t="s">
        <v>354</v>
      </c>
      <c r="B259" s="5" t="s">
        <v>665</v>
      </c>
      <c r="C259" s="26" t="s">
        <v>651</v>
      </c>
      <c r="D259" s="8">
        <v>650</v>
      </c>
      <c r="E259" s="9">
        <v>850</v>
      </c>
      <c r="F259" s="29">
        <f t="shared" si="22"/>
        <v>0.30769230769230771</v>
      </c>
      <c r="G259" s="31">
        <f t="shared" si="20"/>
        <v>0.23529411764705888</v>
      </c>
      <c r="H259" s="31" t="str">
        <f>VLOOKUP(C259,'Maestro de Productos'!$G:$H,2,0)</f>
        <v>6x750</v>
      </c>
      <c r="I259" s="31"/>
      <c r="J259" s="10">
        <f t="shared" si="24"/>
        <v>841.5</v>
      </c>
      <c r="K259" s="31">
        <f t="shared" si="25"/>
        <v>0.22756981580510993</v>
      </c>
      <c r="L259" s="32"/>
    </row>
    <row r="260" spans="1:12" ht="13" x14ac:dyDescent="0.3">
      <c r="A260" s="5" t="s">
        <v>354</v>
      </c>
      <c r="B260" s="5" t="s">
        <v>665</v>
      </c>
      <c r="C260" s="26" t="s">
        <v>652</v>
      </c>
      <c r="D260" s="8">
        <v>650</v>
      </c>
      <c r="E260" s="9">
        <v>850</v>
      </c>
      <c r="F260" s="29">
        <f t="shared" si="22"/>
        <v>0.30769230769230771</v>
      </c>
      <c r="G260" s="31">
        <f t="shared" si="20"/>
        <v>0.23529411764705888</v>
      </c>
      <c r="H260" s="31" t="str">
        <f>VLOOKUP(C260,'Maestro de Productos'!$G:$H,2,0)</f>
        <v>6x750</v>
      </c>
      <c r="I260" s="31"/>
      <c r="J260" s="10">
        <f t="shared" si="24"/>
        <v>841.5</v>
      </c>
      <c r="K260" s="31">
        <f t="shared" si="25"/>
        <v>0.22756981580510993</v>
      </c>
      <c r="L260" s="32"/>
    </row>
    <row r="261" spans="1:12" ht="13" x14ac:dyDescent="0.3">
      <c r="A261" s="5" t="s">
        <v>354</v>
      </c>
      <c r="B261" s="5" t="s">
        <v>665</v>
      </c>
      <c r="C261" s="26" t="s">
        <v>653</v>
      </c>
      <c r="D261" s="8">
        <v>650</v>
      </c>
      <c r="E261" s="9">
        <v>850</v>
      </c>
      <c r="F261" s="29">
        <f t="shared" si="22"/>
        <v>0.30769230769230771</v>
      </c>
      <c r="G261" s="31">
        <f t="shared" si="20"/>
        <v>0.23529411764705888</v>
      </c>
      <c r="H261" s="31" t="str">
        <f>VLOOKUP(C261,'Maestro de Productos'!$G:$H,2,0)</f>
        <v>6x750</v>
      </c>
      <c r="I261" s="31"/>
      <c r="J261" s="10">
        <f t="shared" si="24"/>
        <v>841.5</v>
      </c>
      <c r="K261" s="31">
        <f t="shared" si="25"/>
        <v>0.22756981580510993</v>
      </c>
      <c r="L261" s="32"/>
    </row>
    <row r="262" spans="1:12" ht="13" x14ac:dyDescent="0.3">
      <c r="A262" s="5" t="s">
        <v>354</v>
      </c>
      <c r="B262" s="5" t="s">
        <v>665</v>
      </c>
      <c r="C262" s="26" t="s">
        <v>654</v>
      </c>
      <c r="D262" s="8">
        <v>650</v>
      </c>
      <c r="E262" s="9">
        <v>850</v>
      </c>
      <c r="F262" s="29">
        <f t="shared" si="22"/>
        <v>0.30769230769230771</v>
      </c>
      <c r="G262" s="31">
        <f t="shared" si="20"/>
        <v>0.23529411764705888</v>
      </c>
      <c r="H262" s="31" t="str">
        <f>VLOOKUP(C262,'Maestro de Productos'!$G:$H,2,0)</f>
        <v>6x750</v>
      </c>
      <c r="I262" s="31"/>
      <c r="J262" s="10">
        <f t="shared" si="24"/>
        <v>841.5</v>
      </c>
      <c r="K262" s="31">
        <f t="shared" si="25"/>
        <v>0.22756981580510993</v>
      </c>
      <c r="L262" s="32"/>
    </row>
    <row r="263" spans="1:12" ht="13" x14ac:dyDescent="0.3">
      <c r="A263" s="5" t="s">
        <v>354</v>
      </c>
      <c r="B263" s="5" t="s">
        <v>665</v>
      </c>
      <c r="C263" s="26" t="s">
        <v>655</v>
      </c>
      <c r="D263" s="8">
        <v>746</v>
      </c>
      <c r="E263" s="9">
        <v>990</v>
      </c>
      <c r="F263" s="29">
        <f t="shared" si="22"/>
        <v>0.32707774798927614</v>
      </c>
      <c r="G263" s="31">
        <f t="shared" si="20"/>
        <v>0.2464646464646465</v>
      </c>
      <c r="H263" s="31" t="str">
        <f>VLOOKUP(C263,'Maestro de Productos'!$G:$H,2,0)</f>
        <v>6x750</v>
      </c>
      <c r="I263" s="31"/>
      <c r="J263" s="10">
        <f t="shared" si="24"/>
        <v>980.1</v>
      </c>
      <c r="K263" s="31">
        <f t="shared" si="25"/>
        <v>0.2388531782471176</v>
      </c>
      <c r="L263" s="32"/>
    </row>
    <row r="264" spans="1:12" ht="13" x14ac:dyDescent="0.3">
      <c r="A264" s="5" t="s">
        <v>354</v>
      </c>
      <c r="B264" s="5" t="s">
        <v>665</v>
      </c>
      <c r="C264" s="26" t="s">
        <v>656</v>
      </c>
      <c r="D264" s="8">
        <v>1465</v>
      </c>
      <c r="E264" s="9">
        <v>1890</v>
      </c>
      <c r="F264" s="29">
        <f t="shared" si="22"/>
        <v>0.29010238907849839</v>
      </c>
      <c r="G264" s="31">
        <f t="shared" si="20"/>
        <v>0.22486772486772488</v>
      </c>
      <c r="H264" s="31" t="str">
        <f>VLOOKUP(C264,'Maestro de Productos'!$G:$H,2,0)</f>
        <v>6x750</v>
      </c>
      <c r="I264" s="31"/>
      <c r="J264" s="10">
        <f t="shared" si="24"/>
        <v>1871.1</v>
      </c>
      <c r="K264" s="31">
        <f t="shared" si="25"/>
        <v>0.2170381059269948</v>
      </c>
      <c r="L264" s="32"/>
    </row>
    <row r="265" spans="1:12" ht="13" x14ac:dyDescent="0.3">
      <c r="A265" s="5" t="s">
        <v>354</v>
      </c>
      <c r="B265" s="5" t="s">
        <v>665</v>
      </c>
      <c r="C265" s="26" t="s">
        <v>657</v>
      </c>
      <c r="D265" s="8">
        <v>1890</v>
      </c>
      <c r="E265" s="9">
        <v>2490</v>
      </c>
      <c r="F265" s="29">
        <f t="shared" si="22"/>
        <v>0.31746031746031744</v>
      </c>
      <c r="G265" s="31">
        <f t="shared" si="20"/>
        <v>0.24096385542168675</v>
      </c>
      <c r="H265" s="31" t="str">
        <f>VLOOKUP(C265,'Maestro de Productos'!$G:$H,2,0)</f>
        <v>6x750</v>
      </c>
      <c r="I265" s="31"/>
      <c r="J265" s="10">
        <f t="shared" si="24"/>
        <v>2465.1</v>
      </c>
      <c r="K265" s="31">
        <f t="shared" si="25"/>
        <v>0.23329682365826943</v>
      </c>
      <c r="L265" s="32"/>
    </row>
    <row r="266" spans="1:12" ht="13" x14ac:dyDescent="0.3">
      <c r="A266" s="5" t="s">
        <v>354</v>
      </c>
      <c r="B266" s="5" t="s">
        <v>665</v>
      </c>
      <c r="C266" s="26" t="s">
        <v>658</v>
      </c>
      <c r="D266" s="8">
        <v>1890</v>
      </c>
      <c r="E266" s="9">
        <v>2490</v>
      </c>
      <c r="F266" s="29">
        <f t="shared" si="22"/>
        <v>0.31746031746031744</v>
      </c>
      <c r="G266" s="31">
        <f t="shared" si="20"/>
        <v>0.24096385542168675</v>
      </c>
      <c r="H266" s="31" t="str">
        <f>VLOOKUP(C266,'Maestro de Productos'!$G:$H,2,0)</f>
        <v>6x750</v>
      </c>
      <c r="I266" s="31"/>
      <c r="J266" s="10">
        <f t="shared" si="24"/>
        <v>2465.1</v>
      </c>
      <c r="K266" s="31">
        <f t="shared" si="25"/>
        <v>0.23329682365826943</v>
      </c>
      <c r="L266" s="32"/>
    </row>
    <row r="267" spans="1:12" ht="13" x14ac:dyDescent="0.3">
      <c r="A267" s="5" t="s">
        <v>354</v>
      </c>
      <c r="B267" s="5" t="s">
        <v>665</v>
      </c>
      <c r="C267" s="26" t="s">
        <v>378</v>
      </c>
      <c r="D267" s="8">
        <v>1484.8</v>
      </c>
      <c r="E267" s="9">
        <v>1990</v>
      </c>
      <c r="F267" s="29">
        <f t="shared" si="22"/>
        <v>0.3402478448275863</v>
      </c>
      <c r="G267" s="31">
        <f t="shared" si="20"/>
        <v>0.25386934673366834</v>
      </c>
      <c r="H267" s="31" t="str">
        <f>VLOOKUP(C267,'Maestro de Productos'!$G:$H,2,0)</f>
        <v>6x750</v>
      </c>
      <c r="I267" s="31"/>
      <c r="J267" s="10">
        <f t="shared" si="24"/>
        <v>1970.1</v>
      </c>
      <c r="K267" s="31">
        <f t="shared" si="25"/>
        <v>0.24633267346835186</v>
      </c>
      <c r="L267" s="32"/>
    </row>
    <row r="268" spans="1:12" ht="13" x14ac:dyDescent="0.3">
      <c r="A268" s="5" t="s">
        <v>354</v>
      </c>
      <c r="B268" s="5" t="s">
        <v>665</v>
      </c>
      <c r="C268" s="26" t="s">
        <v>379</v>
      </c>
      <c r="D268" s="8">
        <v>1624</v>
      </c>
      <c r="E268" s="9">
        <v>2190</v>
      </c>
      <c r="F268" s="29">
        <f t="shared" si="22"/>
        <v>0.34852216748768483</v>
      </c>
      <c r="G268" s="31">
        <f t="shared" si="20"/>
        <v>0.25844748858447486</v>
      </c>
      <c r="H268" s="31" t="str">
        <f>VLOOKUP(C268,'Maestro de Productos'!$G:$H,2,0)</f>
        <v>6x750</v>
      </c>
      <c r="I268" s="31"/>
      <c r="J268" s="10">
        <f t="shared" si="24"/>
        <v>2168.1</v>
      </c>
      <c r="K268" s="31">
        <f t="shared" si="25"/>
        <v>0.25095705917623723</v>
      </c>
      <c r="L268" s="32"/>
    </row>
    <row r="269" spans="1:12" ht="13" x14ac:dyDescent="0.3">
      <c r="A269" s="5" t="s">
        <v>354</v>
      </c>
      <c r="B269" s="5" t="s">
        <v>666</v>
      </c>
      <c r="C269" s="26" t="s">
        <v>381</v>
      </c>
      <c r="D269" s="8">
        <v>22973.38</v>
      </c>
      <c r="E269" s="9"/>
      <c r="F269" s="29">
        <f t="shared" si="22"/>
        <v>-1</v>
      </c>
      <c r="G269" s="31">
        <f t="shared" si="20"/>
        <v>0</v>
      </c>
      <c r="H269" s="31" t="str">
        <f>VLOOKUP(C269,'Maestro de Productos'!$G:$H,2,0)</f>
        <v>1x750</v>
      </c>
      <c r="I269" s="31"/>
      <c r="J269" s="10">
        <f t="shared" si="24"/>
        <v>0</v>
      </c>
      <c r="K269" s="31">
        <f t="shared" si="25"/>
        <v>0</v>
      </c>
      <c r="L269" s="32"/>
    </row>
    <row r="270" spans="1:12" ht="13" x14ac:dyDescent="0.3">
      <c r="A270" s="5" t="s">
        <v>354</v>
      </c>
      <c r="B270" s="5" t="s">
        <v>666</v>
      </c>
      <c r="C270" s="26" t="s">
        <v>702</v>
      </c>
      <c r="D270" s="8">
        <f>6900*0.95</f>
        <v>6555</v>
      </c>
      <c r="E270" s="9">
        <v>8290</v>
      </c>
      <c r="F270" s="29">
        <f t="shared" si="22"/>
        <v>0.26468344774980923</v>
      </c>
      <c r="G270" s="31">
        <f t="shared" si="20"/>
        <v>0.2092882991556092</v>
      </c>
      <c r="H270" s="31" t="str">
        <f>VLOOKUP(C270,'Maestro de Productos'!$G:$H,2,0)</f>
        <v>1x750</v>
      </c>
      <c r="I270" s="31"/>
      <c r="J270" s="10">
        <f t="shared" si="24"/>
        <v>8207.1</v>
      </c>
      <c r="K270" s="31">
        <f t="shared" si="25"/>
        <v>0.2013013122783931</v>
      </c>
      <c r="L270" s="32"/>
    </row>
    <row r="271" spans="1:12" ht="13" x14ac:dyDescent="0.3">
      <c r="A271" s="5" t="s">
        <v>354</v>
      </c>
      <c r="B271" s="5" t="s">
        <v>666</v>
      </c>
      <c r="C271" s="26" t="s">
        <v>703</v>
      </c>
      <c r="D271" s="8">
        <f>8100*0.95</f>
        <v>7695</v>
      </c>
      <c r="E271" s="9">
        <v>9990</v>
      </c>
      <c r="F271" s="29">
        <f t="shared" si="22"/>
        <v>0.29824561403508776</v>
      </c>
      <c r="G271" s="31">
        <f t="shared" si="20"/>
        <v>0.22972972972972971</v>
      </c>
      <c r="H271" s="31" t="str">
        <f>VLOOKUP(C271,'Maestro de Productos'!$G:$H,2,0)</f>
        <v>1x750</v>
      </c>
      <c r="I271" s="31"/>
      <c r="J271" s="10">
        <f t="shared" si="24"/>
        <v>9890.1</v>
      </c>
      <c r="K271" s="31">
        <f t="shared" si="25"/>
        <v>0.22194922194922195</v>
      </c>
      <c r="L271" s="32"/>
    </row>
    <row r="272" spans="1:12" ht="13" x14ac:dyDescent="0.3">
      <c r="A272" s="5" t="s">
        <v>354</v>
      </c>
      <c r="B272" s="5" t="s">
        <v>666</v>
      </c>
      <c r="C272" s="25" t="s">
        <v>383</v>
      </c>
      <c r="D272" s="8">
        <v>8000</v>
      </c>
      <c r="E272" s="9"/>
      <c r="F272" s="29">
        <f t="shared" si="22"/>
        <v>-1</v>
      </c>
      <c r="G272" s="31">
        <f t="shared" si="20"/>
        <v>0</v>
      </c>
      <c r="H272" s="31" t="str">
        <f>VLOOKUP(C272,'Maestro de Productos'!$G:$H,2,0)</f>
        <v>1x750</v>
      </c>
      <c r="I272" s="31"/>
      <c r="J272" s="10">
        <f t="shared" si="24"/>
        <v>0</v>
      </c>
      <c r="K272" s="31">
        <f t="shared" si="25"/>
        <v>0</v>
      </c>
      <c r="L272" s="32"/>
    </row>
    <row r="273" spans="1:12" ht="13" x14ac:dyDescent="0.3">
      <c r="A273" s="5" t="s">
        <v>354</v>
      </c>
      <c r="B273" s="5" t="s">
        <v>666</v>
      </c>
      <c r="C273" s="25" t="s">
        <v>384</v>
      </c>
      <c r="D273" s="8">
        <v>7963</v>
      </c>
      <c r="E273" s="9"/>
      <c r="F273" s="29">
        <f t="shared" si="22"/>
        <v>-1</v>
      </c>
      <c r="G273" s="31">
        <f t="shared" si="20"/>
        <v>0</v>
      </c>
      <c r="H273" s="31" t="str">
        <f>VLOOKUP(C273,'Maestro de Productos'!$G:$H,2,0)</f>
        <v>1x750</v>
      </c>
      <c r="I273" s="31"/>
      <c r="J273" s="10">
        <f t="shared" si="24"/>
        <v>0</v>
      </c>
      <c r="K273" s="31">
        <f t="shared" si="25"/>
        <v>0</v>
      </c>
      <c r="L273" s="32"/>
    </row>
    <row r="274" spans="1:12" ht="13" x14ac:dyDescent="0.3">
      <c r="A274" s="5" t="s">
        <v>354</v>
      </c>
      <c r="B274" s="5" t="s">
        <v>666</v>
      </c>
      <c r="C274" s="25" t="s">
        <v>385</v>
      </c>
      <c r="D274" s="8">
        <v>6756.2000000000007</v>
      </c>
      <c r="E274" s="9"/>
      <c r="F274" s="29">
        <f t="shared" si="22"/>
        <v>-1</v>
      </c>
      <c r="G274" s="31">
        <f t="shared" si="20"/>
        <v>0</v>
      </c>
      <c r="H274" s="31" t="str">
        <f>VLOOKUP(C274,'Maestro de Productos'!$G:$H,2,0)</f>
        <v>1x750</v>
      </c>
      <c r="I274" s="31"/>
      <c r="J274" s="10">
        <f t="shared" si="24"/>
        <v>0</v>
      </c>
      <c r="K274" s="31">
        <f t="shared" si="25"/>
        <v>0</v>
      </c>
      <c r="L274" s="32"/>
    </row>
    <row r="275" spans="1:12" ht="13" x14ac:dyDescent="0.3">
      <c r="A275" s="5" t="s">
        <v>354</v>
      </c>
      <c r="B275" s="5" t="s">
        <v>666</v>
      </c>
      <c r="C275" s="25" t="s">
        <v>386</v>
      </c>
      <c r="D275" s="8">
        <v>6756.2000000000007</v>
      </c>
      <c r="E275" s="9"/>
      <c r="F275" s="29">
        <f t="shared" si="22"/>
        <v>-1</v>
      </c>
      <c r="G275" s="31">
        <f t="shared" si="20"/>
        <v>0</v>
      </c>
      <c r="H275" s="31" t="str">
        <f>VLOOKUP(C275,'Maestro de Productos'!$G:$H,2,0)</f>
        <v>1x750</v>
      </c>
      <c r="I275" s="31"/>
      <c r="J275" s="10">
        <f t="shared" si="24"/>
        <v>0</v>
      </c>
      <c r="K275" s="31">
        <f t="shared" si="25"/>
        <v>0</v>
      </c>
      <c r="L275" s="32"/>
    </row>
    <row r="276" spans="1:12" ht="13" x14ac:dyDescent="0.3">
      <c r="A276" s="5" t="s">
        <v>354</v>
      </c>
      <c r="B276" s="5" t="s">
        <v>666</v>
      </c>
      <c r="C276" s="25" t="s">
        <v>387</v>
      </c>
      <c r="D276" s="8">
        <v>6756.2000000000007</v>
      </c>
      <c r="E276" s="9"/>
      <c r="F276" s="29">
        <f t="shared" si="22"/>
        <v>-1</v>
      </c>
      <c r="G276" s="31">
        <f t="shared" si="20"/>
        <v>0</v>
      </c>
      <c r="H276" s="31" t="str">
        <f>VLOOKUP(C276,'Maestro de Productos'!$G:$H,2,0)</f>
        <v>1x750</v>
      </c>
      <c r="I276" s="31"/>
      <c r="J276" s="10">
        <f t="shared" si="24"/>
        <v>0</v>
      </c>
      <c r="K276" s="31">
        <f t="shared" si="25"/>
        <v>0</v>
      </c>
      <c r="L276" s="32"/>
    </row>
    <row r="277" spans="1:12" ht="13" x14ac:dyDescent="0.3">
      <c r="A277" s="5" t="s">
        <v>354</v>
      </c>
      <c r="B277" s="5" t="s">
        <v>665</v>
      </c>
      <c r="C277" s="25" t="s">
        <v>389</v>
      </c>
      <c r="D277" s="8">
        <v>7500</v>
      </c>
      <c r="E277" s="9">
        <v>13990</v>
      </c>
      <c r="F277" s="29">
        <f t="shared" si="22"/>
        <v>0.86533333333333329</v>
      </c>
      <c r="G277" s="31">
        <f t="shared" si="20"/>
        <v>0.46390278770550397</v>
      </c>
      <c r="H277" s="31" t="str">
        <f>VLOOKUP(C277,'Maestro de Productos'!$G:$H,2,0)</f>
        <v>1x750</v>
      </c>
      <c r="I277" s="31"/>
      <c r="J277" s="10">
        <f t="shared" si="24"/>
        <v>13850.1</v>
      </c>
      <c r="K277" s="31">
        <f t="shared" si="25"/>
        <v>0.45848766434899391</v>
      </c>
      <c r="L277" s="32"/>
    </row>
    <row r="278" spans="1:12" ht="13" x14ac:dyDescent="0.3">
      <c r="A278" s="5" t="s">
        <v>354</v>
      </c>
      <c r="B278" s="5" t="s">
        <v>666</v>
      </c>
      <c r="C278" s="6" t="s">
        <v>390</v>
      </c>
      <c r="D278" s="8">
        <v>6172.3670000000011</v>
      </c>
      <c r="E278" s="9"/>
      <c r="F278" s="29">
        <f t="shared" si="22"/>
        <v>-1</v>
      </c>
      <c r="G278" s="31">
        <f t="shared" si="20"/>
        <v>0</v>
      </c>
      <c r="H278" s="31" t="str">
        <f>VLOOKUP(C278,'Maestro de Productos'!$G:$H,2,0)</f>
        <v>1x750</v>
      </c>
      <c r="I278" s="31"/>
      <c r="J278" s="10">
        <f t="shared" si="24"/>
        <v>0</v>
      </c>
      <c r="K278" s="31">
        <f t="shared" si="25"/>
        <v>0</v>
      </c>
      <c r="L278" s="32"/>
    </row>
    <row r="279" spans="1:12" ht="13" x14ac:dyDescent="0.3">
      <c r="A279" s="5" t="s">
        <v>10</v>
      </c>
      <c r="B279" s="5" t="s">
        <v>665</v>
      </c>
      <c r="C279" s="16" t="s">
        <v>555</v>
      </c>
      <c r="D279" s="8">
        <f>D3+D14+D23+D85+D249+D179</f>
        <v>2511.120727272727</v>
      </c>
      <c r="E279" s="9">
        <f>ROUNDUP(E3+E14+E23+E85+E249+E179,-2)</f>
        <v>3700</v>
      </c>
      <c r="F279" s="29">
        <f t="shared" si="22"/>
        <v>0.47344568495457739</v>
      </c>
      <c r="G279" s="31">
        <f t="shared" si="20"/>
        <v>0.32131872235872239</v>
      </c>
      <c r="H279" s="31" t="str">
        <f>VLOOKUP(C279,'Maestro de Productos'!$G:$H,2,0)</f>
        <v>Combo 6 bot.</v>
      </c>
      <c r="I279" s="31"/>
      <c r="J279" s="10">
        <f t="shared" si="24"/>
        <v>3663</v>
      </c>
      <c r="K279" s="31">
        <f t="shared" si="25"/>
        <v>0.31446335591790142</v>
      </c>
      <c r="L279" s="32"/>
    </row>
    <row r="280" spans="1:12" ht="13" x14ac:dyDescent="0.3">
      <c r="A280" s="5" t="s">
        <v>10</v>
      </c>
      <c r="B280" s="5" t="s">
        <v>665</v>
      </c>
      <c r="C280" s="16" t="s">
        <v>557</v>
      </c>
      <c r="D280" s="8">
        <f>D7+D13+D28+D77+D91+D100</f>
        <v>4254.22</v>
      </c>
      <c r="E280" s="9">
        <f>ROUNDUP(E7+E17+E28+E77+E91+E100,-2)</f>
        <v>6100</v>
      </c>
      <c r="F280" s="29">
        <f t="shared" si="22"/>
        <v>0.4338703687162393</v>
      </c>
      <c r="G280" s="31">
        <f t="shared" ref="G280:G344" si="26">IFERROR(1-D280/E280,0)</f>
        <v>0.3025868852459016</v>
      </c>
      <c r="H280" s="31" t="str">
        <f>VLOOKUP(C280,'Maestro de Productos'!$G:$H,2,0)</f>
        <v>Combo 6 bot.</v>
      </c>
      <c r="I280" s="31"/>
      <c r="J280" s="10">
        <f t="shared" si="24"/>
        <v>6039</v>
      </c>
      <c r="K280" s="31">
        <f t="shared" si="25"/>
        <v>0.29554230832919348</v>
      </c>
      <c r="L280" s="32"/>
    </row>
    <row r="281" spans="1:12" ht="13" x14ac:dyDescent="0.3">
      <c r="A281" s="5" t="s">
        <v>10</v>
      </c>
      <c r="B281" s="5" t="s">
        <v>665</v>
      </c>
      <c r="C281" s="16" t="s">
        <v>558</v>
      </c>
      <c r="D281" s="8">
        <f>D104+D105+D106</f>
        <v>2973.8199999999997</v>
      </c>
      <c r="E281" s="9">
        <f>ROUNDUP(E104+E105+E106,-2)</f>
        <v>3800</v>
      </c>
      <c r="F281" s="29">
        <f t="shared" si="22"/>
        <v>0.27781775628652716</v>
      </c>
      <c r="G281" s="31">
        <f t="shared" si="26"/>
        <v>0.21741578947368434</v>
      </c>
      <c r="H281" s="31" t="str">
        <f>VLOOKUP(C281,'Maestro de Productos'!$G:$H,2,0)</f>
        <v>Combo 3 bot.</v>
      </c>
      <c r="I281" s="31"/>
      <c r="J281" s="10">
        <f t="shared" si="24"/>
        <v>3762</v>
      </c>
      <c r="K281" s="31">
        <f t="shared" si="25"/>
        <v>0.20951089845826698</v>
      </c>
      <c r="L281" s="32"/>
    </row>
    <row r="282" spans="1:12" ht="13" x14ac:dyDescent="0.3">
      <c r="A282" s="5" t="s">
        <v>10</v>
      </c>
      <c r="B282" s="5" t="s">
        <v>665</v>
      </c>
      <c r="C282" s="16" t="s">
        <v>560</v>
      </c>
      <c r="D282" s="8">
        <f>D182+D173+D114</f>
        <v>1983.7620606060605</v>
      </c>
      <c r="E282" s="9">
        <f>ROUNDUP(E182+E173+E114,-2)</f>
        <v>3300</v>
      </c>
      <c r="F282" s="29">
        <f t="shared" si="22"/>
        <v>0.66350595443478477</v>
      </c>
      <c r="G282" s="31">
        <f t="shared" si="26"/>
        <v>0.39885998163452718</v>
      </c>
      <c r="H282" s="31" t="str">
        <f>VLOOKUP(C282,'Maestro de Productos'!$G:$H,2,0)</f>
        <v>Combo 3 bot.</v>
      </c>
      <c r="I282" s="31"/>
      <c r="J282" s="10">
        <f t="shared" si="24"/>
        <v>3267</v>
      </c>
      <c r="K282" s="31">
        <f t="shared" si="25"/>
        <v>0.39278786023689605</v>
      </c>
      <c r="L282" s="32"/>
    </row>
    <row r="283" spans="1:12" ht="13" x14ac:dyDescent="0.3">
      <c r="A283" s="5" t="s">
        <v>10</v>
      </c>
      <c r="B283" s="5" t="s">
        <v>665</v>
      </c>
      <c r="C283" s="16" t="s">
        <v>561</v>
      </c>
      <c r="D283" s="8">
        <f>D4*2+D18*2+D24*2</f>
        <v>3474</v>
      </c>
      <c r="E283" s="9">
        <f>ROUNDUP(E4*2+E18*2+E24*2,-2)</f>
        <v>4700</v>
      </c>
      <c r="F283" s="29">
        <f t="shared" si="22"/>
        <v>0.3529073114565342</v>
      </c>
      <c r="G283" s="31">
        <f t="shared" si="26"/>
        <v>0.26085106382978729</v>
      </c>
      <c r="H283" s="31" t="str">
        <f>VLOOKUP(C283,'Maestro de Productos'!$G:$H,2,0)</f>
        <v>Combo 6 bot.</v>
      </c>
      <c r="I283" s="31"/>
      <c r="J283" s="10">
        <f t="shared" si="24"/>
        <v>4653</v>
      </c>
      <c r="K283" s="31">
        <f t="shared" si="25"/>
        <v>0.25338491295938104</v>
      </c>
      <c r="L283" s="32"/>
    </row>
    <row r="284" spans="1:12" ht="13" x14ac:dyDescent="0.3">
      <c r="A284" s="5" t="s">
        <v>10</v>
      </c>
      <c r="B284" s="5" t="s">
        <v>665</v>
      </c>
      <c r="C284" s="16" t="s">
        <v>562</v>
      </c>
      <c r="D284" s="8" t="e">
        <f>#REF!*2+D31*2+D162*2</f>
        <v>#REF!</v>
      </c>
      <c r="E284" s="9" t="e">
        <f>ROUNDUP(#REF!*2+E31*2+E162*2,-2)</f>
        <v>#REF!</v>
      </c>
      <c r="F284" s="29" t="e">
        <f t="shared" si="22"/>
        <v>#REF!</v>
      </c>
      <c r="G284" s="31">
        <f t="shared" si="26"/>
        <v>0</v>
      </c>
      <c r="H284" s="31" t="str">
        <f>VLOOKUP(C284,'Maestro de Productos'!$G:$H,2,0)</f>
        <v>Combo 6 bot.</v>
      </c>
      <c r="I284" s="31"/>
      <c r="J284" s="10" t="e">
        <f t="shared" si="24"/>
        <v>#REF!</v>
      </c>
      <c r="K284" s="31">
        <f t="shared" si="25"/>
        <v>0</v>
      </c>
      <c r="L284" s="32"/>
    </row>
    <row r="285" spans="1:12" ht="13" x14ac:dyDescent="0.3">
      <c r="A285" s="5" t="s">
        <v>10</v>
      </c>
      <c r="B285" s="5" t="s">
        <v>665</v>
      </c>
      <c r="C285" s="16" t="s">
        <v>563</v>
      </c>
      <c r="D285" s="8">
        <f>D16*2+D25*2+D101*2</f>
        <v>3877.7520661157023</v>
      </c>
      <c r="E285" s="9">
        <f>ROUNDUP(E16*2+E25*2+E101*2,-2)</f>
        <v>5400</v>
      </c>
      <c r="F285" s="29">
        <f t="shared" si="22"/>
        <v>0.39255937665171947</v>
      </c>
      <c r="G285" s="31">
        <f t="shared" si="26"/>
        <v>0.28189776553412915</v>
      </c>
      <c r="H285" s="31" t="str">
        <f>VLOOKUP(C285,'Maestro de Productos'!$G:$H,2,0)</f>
        <v>Combo 6 bot.</v>
      </c>
      <c r="I285" s="31"/>
      <c r="J285" s="10">
        <f t="shared" si="24"/>
        <v>5346</v>
      </c>
      <c r="K285" s="31">
        <f t="shared" si="25"/>
        <v>0.27464420761023156</v>
      </c>
      <c r="L285" s="32"/>
    </row>
    <row r="286" spans="1:12" ht="13" x14ac:dyDescent="0.3">
      <c r="A286" s="5" t="s">
        <v>10</v>
      </c>
      <c r="B286" s="5" t="s">
        <v>665</v>
      </c>
      <c r="C286" s="16" t="s">
        <v>564</v>
      </c>
      <c r="D286" s="8">
        <f>D7*2+D20*2+D30*2</f>
        <v>5554</v>
      </c>
      <c r="E286" s="9">
        <f>ROUNDUP(E7*2+E20*2+E30*2,-2)</f>
        <v>7500</v>
      </c>
      <c r="F286" s="29">
        <f t="shared" si="22"/>
        <v>0.35037810586964357</v>
      </c>
      <c r="G286" s="31">
        <f t="shared" si="26"/>
        <v>0.25946666666666662</v>
      </c>
      <c r="H286" s="31" t="str">
        <f>VLOOKUP(C286,'Maestro de Productos'!$G:$H,2,0)</f>
        <v>Combo 6 bot.</v>
      </c>
      <c r="I286" s="31"/>
      <c r="J286" s="10">
        <f t="shared" si="24"/>
        <v>7425</v>
      </c>
      <c r="K286" s="31">
        <f t="shared" si="25"/>
        <v>0.25198653198653198</v>
      </c>
      <c r="L286" s="32"/>
    </row>
    <row r="287" spans="1:12" ht="13" x14ac:dyDescent="0.3">
      <c r="A287" s="5" t="s">
        <v>10</v>
      </c>
      <c r="B287" s="5" t="s">
        <v>665</v>
      </c>
      <c r="C287" s="16" t="s">
        <v>565</v>
      </c>
      <c r="D287" s="8">
        <f>D74*2+D76*2+D77*2</f>
        <v>5484.54</v>
      </c>
      <c r="E287" s="9">
        <f>ROUNDUP(E74*2+E76*2+E77*2,-2)</f>
        <v>7200</v>
      </c>
      <c r="F287" s="29">
        <f t="shared" si="22"/>
        <v>0.31278101718649154</v>
      </c>
      <c r="G287" s="31">
        <f t="shared" si="26"/>
        <v>0.23825833333333335</v>
      </c>
      <c r="H287" s="31" t="str">
        <f>VLOOKUP(C287,'Maestro de Productos'!$G:$H,2,0)</f>
        <v>Combo 6 bot.</v>
      </c>
      <c r="I287" s="31"/>
      <c r="J287" s="10">
        <f t="shared" si="24"/>
        <v>7128</v>
      </c>
      <c r="K287" s="31">
        <f t="shared" si="25"/>
        <v>0.23056397306397303</v>
      </c>
      <c r="L287" s="32"/>
    </row>
    <row r="288" spans="1:12" ht="13" x14ac:dyDescent="0.3">
      <c r="A288" s="5" t="s">
        <v>10</v>
      </c>
      <c r="B288" s="5" t="s">
        <v>665</v>
      </c>
      <c r="C288" s="16" t="s">
        <v>566</v>
      </c>
      <c r="D288" s="8" t="e">
        <f>D17*2+D20*2+#REF!*2</f>
        <v>#REF!</v>
      </c>
      <c r="E288" s="9" t="e">
        <f>ROUNDUP(E17*2+E20*2+#REF!*2,-2)</f>
        <v>#REF!</v>
      </c>
      <c r="F288" s="29" t="e">
        <f t="shared" si="22"/>
        <v>#REF!</v>
      </c>
      <c r="G288" s="31">
        <f t="shared" si="26"/>
        <v>0</v>
      </c>
      <c r="H288" s="31" t="str">
        <f>VLOOKUP(C288,'Maestro de Productos'!$G:$H,2,0)</f>
        <v>Combo 6 bot.</v>
      </c>
      <c r="I288" s="31"/>
      <c r="J288" s="10" t="e">
        <f t="shared" si="24"/>
        <v>#REF!</v>
      </c>
      <c r="K288" s="31">
        <f t="shared" si="25"/>
        <v>0</v>
      </c>
      <c r="L288" s="32"/>
    </row>
    <row r="289" spans="1:12" ht="13" x14ac:dyDescent="0.3">
      <c r="A289" s="5" t="s">
        <v>10</v>
      </c>
      <c r="B289" s="5" t="s">
        <v>665</v>
      </c>
      <c r="C289" s="16" t="s">
        <v>567</v>
      </c>
      <c r="D289" s="8">
        <f>D250*2+D252*2+D253*2</f>
        <v>2660</v>
      </c>
      <c r="E289" s="9">
        <f>ROUNDUP(E250*2+E252*2+E253*2,-2)</f>
        <v>4800</v>
      </c>
      <c r="F289" s="29">
        <f t="shared" si="22"/>
        <v>0.80451127819548862</v>
      </c>
      <c r="G289" s="31">
        <f t="shared" si="26"/>
        <v>0.4458333333333333</v>
      </c>
      <c r="H289" s="31" t="str">
        <f>VLOOKUP(C289,'Maestro de Productos'!$G:$H,2,0)</f>
        <v>Combo 6 bot.</v>
      </c>
      <c r="I289" s="31"/>
      <c r="J289" s="10">
        <f t="shared" ref="J289:J320" si="27">E289*0.99</f>
        <v>4752</v>
      </c>
      <c r="K289" s="31">
        <f t="shared" si="25"/>
        <v>0.4402356902356902</v>
      </c>
      <c r="L289" s="32"/>
    </row>
    <row r="290" spans="1:12" ht="13" x14ac:dyDescent="0.3">
      <c r="A290" s="5" t="s">
        <v>10</v>
      </c>
      <c r="B290" s="5" t="s">
        <v>665</v>
      </c>
      <c r="C290" s="16" t="s">
        <v>568</v>
      </c>
      <c r="D290" s="8">
        <f>D239*2+D240*2+D243*2</f>
        <v>4672</v>
      </c>
      <c r="E290" s="9">
        <f>ROUNDUP(E239*2+E240*2+E243*2,-2)</f>
        <v>6500</v>
      </c>
      <c r="F290" s="29">
        <f t="shared" si="22"/>
        <v>0.39126712328767121</v>
      </c>
      <c r="G290" s="31">
        <f t="shared" si="26"/>
        <v>0.28123076923076928</v>
      </c>
      <c r="H290" s="31" t="str">
        <f>VLOOKUP(C290,'Maestro de Productos'!$G:$H,2,0)</f>
        <v>Combo 6 bot.</v>
      </c>
      <c r="I290" s="31"/>
      <c r="J290" s="10">
        <f t="shared" si="27"/>
        <v>6435</v>
      </c>
      <c r="K290" s="31">
        <f t="shared" si="25"/>
        <v>0.27397047397047392</v>
      </c>
      <c r="L290" s="32"/>
    </row>
    <row r="291" spans="1:12" ht="13" x14ac:dyDescent="0.3">
      <c r="A291" s="5" t="s">
        <v>10</v>
      </c>
      <c r="B291" s="5" t="s">
        <v>665</v>
      </c>
      <c r="C291" s="16" t="s">
        <v>569</v>
      </c>
      <c r="D291" s="8">
        <f>D85*2+D87*2+D88*2</f>
        <v>6048</v>
      </c>
      <c r="E291" s="9">
        <f>ROUNDUP(E85*2+E87*2+E88*2,-2)</f>
        <v>8000</v>
      </c>
      <c r="F291" s="29">
        <f t="shared" si="22"/>
        <v>0.32275132275132279</v>
      </c>
      <c r="G291" s="31">
        <f t="shared" si="26"/>
        <v>0.24399999999999999</v>
      </c>
      <c r="H291" s="31" t="str">
        <f>VLOOKUP(C291,'Maestro de Productos'!$G:$H,2,0)</f>
        <v>Combo 6 bot.</v>
      </c>
      <c r="I291" s="31"/>
      <c r="J291" s="10">
        <f t="shared" si="27"/>
        <v>7920</v>
      </c>
      <c r="K291" s="31">
        <f t="shared" si="25"/>
        <v>0.23636363636363633</v>
      </c>
      <c r="L291" s="32"/>
    </row>
    <row r="292" spans="1:12" ht="13" x14ac:dyDescent="0.3">
      <c r="A292" s="5" t="s">
        <v>10</v>
      </c>
      <c r="B292" s="5" t="s">
        <v>665</v>
      </c>
      <c r="C292" s="16" t="s">
        <v>570</v>
      </c>
      <c r="D292" s="8">
        <f>D7*2+D8*2+D10*2</f>
        <v>7068</v>
      </c>
      <c r="E292" s="9">
        <f>ROUNDUP(E7*2+E8*2+E10*2,-2)</f>
        <v>9200</v>
      </c>
      <c r="F292" s="29">
        <f t="shared" si="22"/>
        <v>0.30164119977362769</v>
      </c>
      <c r="G292" s="31">
        <f t="shared" si="26"/>
        <v>0.23173913043478256</v>
      </c>
      <c r="H292" s="31" t="str">
        <f>VLOOKUP(C292,'Maestro de Productos'!$G:$H,2,0)</f>
        <v>Combo 6 bot.</v>
      </c>
      <c r="I292" s="31"/>
      <c r="J292" s="10">
        <f t="shared" si="27"/>
        <v>9108</v>
      </c>
      <c r="K292" s="31">
        <f t="shared" si="25"/>
        <v>0.22397891963109351</v>
      </c>
      <c r="L292" s="32"/>
    </row>
    <row r="293" spans="1:12" ht="13" x14ac:dyDescent="0.3">
      <c r="A293" s="5" t="s">
        <v>10</v>
      </c>
      <c r="B293" s="5" t="s">
        <v>665</v>
      </c>
      <c r="C293" s="16" t="s">
        <v>571</v>
      </c>
      <c r="D293" s="8">
        <f>D38*2+D39*2+D40*2</f>
        <v>8086</v>
      </c>
      <c r="E293" s="9">
        <f>ROUNDUP(E38*2+E39*2+E40*2,-2)</f>
        <v>11400</v>
      </c>
      <c r="F293" s="29">
        <f t="shared" si="22"/>
        <v>0.40984417511748705</v>
      </c>
      <c r="G293" s="31">
        <f t="shared" si="26"/>
        <v>0.29070175438596491</v>
      </c>
      <c r="H293" s="31" t="str">
        <f>VLOOKUP(C293,'Maestro de Productos'!$G:$H,2,0)</f>
        <v>Combo 6 bot.</v>
      </c>
      <c r="I293" s="31"/>
      <c r="J293" s="10">
        <f t="shared" si="27"/>
        <v>11286</v>
      </c>
      <c r="K293" s="31">
        <f t="shared" si="25"/>
        <v>0.28353712564238875</v>
      </c>
      <c r="L293" s="32"/>
    </row>
    <row r="294" spans="1:12" ht="13" x14ac:dyDescent="0.3">
      <c r="A294" s="5" t="s">
        <v>10</v>
      </c>
      <c r="B294" s="5" t="s">
        <v>665</v>
      </c>
      <c r="C294" s="16" t="s">
        <v>572</v>
      </c>
      <c r="D294" s="8">
        <f>D39*2+D40*2+D42*2</f>
        <v>10230</v>
      </c>
      <c r="E294" s="9">
        <f>ROUNDUP(E39*2+E40*2+E42*2,-2)</f>
        <v>15800</v>
      </c>
      <c r="F294" s="29">
        <f t="shared" si="22"/>
        <v>0.54447702834799605</v>
      </c>
      <c r="G294" s="31">
        <f t="shared" si="26"/>
        <v>0.35253164556962024</v>
      </c>
      <c r="H294" s="31" t="str">
        <f>VLOOKUP(C294,'Maestro de Productos'!$G:$H,2,0)</f>
        <v>Combo 6 bot.</v>
      </c>
      <c r="I294" s="31"/>
      <c r="J294" s="10">
        <f t="shared" si="27"/>
        <v>15642</v>
      </c>
      <c r="K294" s="31">
        <f t="shared" si="25"/>
        <v>0.34599156118143459</v>
      </c>
      <c r="L294" s="32"/>
    </row>
    <row r="295" spans="1:12" ht="13" x14ac:dyDescent="0.3">
      <c r="A295" s="5" t="s">
        <v>10</v>
      </c>
      <c r="B295" s="5" t="s">
        <v>665</v>
      </c>
      <c r="C295" s="16" t="s">
        <v>573</v>
      </c>
      <c r="D295" s="8">
        <f>D34+D35+D36+D37</f>
        <v>6304</v>
      </c>
      <c r="E295" s="9">
        <f>ROUNDUP(E34+E35+E36+E37,-2)</f>
        <v>8600</v>
      </c>
      <c r="F295" s="29">
        <f t="shared" si="22"/>
        <v>0.3642131979695431</v>
      </c>
      <c r="G295" s="31">
        <f t="shared" si="26"/>
        <v>0.26697674418604656</v>
      </c>
      <c r="H295" s="31" t="str">
        <f>VLOOKUP(C295,'Maestro de Productos'!$G:$H,2,0)</f>
        <v>Combo 4 bot.</v>
      </c>
      <c r="I295" s="31"/>
      <c r="J295" s="10">
        <f t="shared" si="27"/>
        <v>8514</v>
      </c>
      <c r="K295" s="31">
        <f t="shared" si="25"/>
        <v>0.25957246887479446</v>
      </c>
      <c r="L295" s="32"/>
    </row>
    <row r="296" spans="1:12" ht="13" x14ac:dyDescent="0.3">
      <c r="A296" s="5" t="s">
        <v>10</v>
      </c>
      <c r="B296" s="5" t="s">
        <v>665</v>
      </c>
      <c r="C296" s="16" t="s">
        <v>575</v>
      </c>
      <c r="D296" s="8">
        <f>D24+D28+D30+D35+D40+D42</f>
        <v>6960</v>
      </c>
      <c r="E296" s="9">
        <f>ROUNDUP(E24+E28+E30+E35+E40+E42,-2)</f>
        <v>10500</v>
      </c>
      <c r="F296" s="29">
        <f t="shared" si="22"/>
        <v>0.50862068965517238</v>
      </c>
      <c r="G296" s="31">
        <f t="shared" si="26"/>
        <v>0.33714285714285719</v>
      </c>
      <c r="H296" s="31" t="str">
        <f>VLOOKUP(C296,'Maestro de Productos'!$G:$H,2,0)</f>
        <v>Combo 6 bot.</v>
      </c>
      <c r="I296" s="31"/>
      <c r="J296" s="10">
        <f t="shared" si="27"/>
        <v>10395</v>
      </c>
      <c r="K296" s="31">
        <f t="shared" si="25"/>
        <v>0.33044733044733043</v>
      </c>
      <c r="L296" s="32"/>
    </row>
    <row r="297" spans="1:12" ht="13" x14ac:dyDescent="0.3">
      <c r="A297" s="5" t="s">
        <v>10</v>
      </c>
      <c r="B297" s="5" t="s">
        <v>665</v>
      </c>
      <c r="C297" s="16" t="s">
        <v>576</v>
      </c>
      <c r="D297" s="8">
        <f>D61+D62*2+D63+D64+D65</f>
        <v>9312.0413223140495</v>
      </c>
      <c r="E297" s="9">
        <f>ROUNDUP(E61+E62*2+E63+E64+E65,-2)</f>
        <v>12600</v>
      </c>
      <c r="F297" s="29">
        <f t="shared" si="22"/>
        <v>0.35308677913693898</v>
      </c>
      <c r="G297" s="31">
        <f t="shared" si="26"/>
        <v>0.26094910140364691</v>
      </c>
      <c r="H297" s="31" t="str">
        <f>VLOOKUP(C297,'Maestro de Productos'!$G:$H,2,0)</f>
        <v>Combo 6 bot.</v>
      </c>
      <c r="I297" s="31"/>
      <c r="J297" s="10">
        <f t="shared" si="27"/>
        <v>12474</v>
      </c>
      <c r="K297" s="31">
        <f t="shared" si="25"/>
        <v>0.25348394081176451</v>
      </c>
      <c r="L297" s="32"/>
    </row>
    <row r="298" spans="1:12" ht="13" x14ac:dyDescent="0.3">
      <c r="A298" s="5" t="s">
        <v>10</v>
      </c>
      <c r="B298" s="5" t="s">
        <v>665</v>
      </c>
      <c r="C298" s="16" t="s">
        <v>577</v>
      </c>
      <c r="D298" s="8">
        <f>D101*2+D102*2+D103*2</f>
        <v>10141.735537190083</v>
      </c>
      <c r="E298" s="9">
        <f>ROUNDUP(E101*2+E102*2+E103*2,-2)</f>
        <v>13300</v>
      </c>
      <c r="F298" s="29">
        <f t="shared" si="22"/>
        <v>0.3114126227437557</v>
      </c>
      <c r="G298" s="31">
        <f t="shared" si="26"/>
        <v>0.23746349344435469</v>
      </c>
      <c r="H298" s="31" t="str">
        <f>VLOOKUP(C298,'Maestro de Productos'!$G:$H,2,0)</f>
        <v>Combo 6 bot.</v>
      </c>
      <c r="I298" s="31"/>
      <c r="J298" s="10">
        <f t="shared" si="27"/>
        <v>13167</v>
      </c>
      <c r="K298" s="31">
        <f t="shared" si="25"/>
        <v>0.22976110448924714</v>
      </c>
      <c r="L298" s="32"/>
    </row>
    <row r="299" spans="1:12" ht="13" x14ac:dyDescent="0.3">
      <c r="A299" s="5" t="s">
        <v>10</v>
      </c>
      <c r="B299" s="5" t="s">
        <v>665</v>
      </c>
      <c r="C299" s="16" t="s">
        <v>578</v>
      </c>
      <c r="D299" s="8">
        <f>D24*2+D28*2+D30*2</f>
        <v>3936</v>
      </c>
      <c r="E299" s="9">
        <f>ROUNDUP(E24*2+E28*2+E30*2,-2)</f>
        <v>5600</v>
      </c>
      <c r="F299" s="29">
        <f t="shared" si="22"/>
        <v>0.4227642276422765</v>
      </c>
      <c r="G299" s="31">
        <f t="shared" si="26"/>
        <v>0.29714285714285715</v>
      </c>
      <c r="H299" s="31" t="str">
        <f>VLOOKUP(C299,'Maestro de Productos'!$G:$H,2,0)</f>
        <v>Combo 6 bot.</v>
      </c>
      <c r="I299" s="31"/>
      <c r="J299" s="10">
        <f t="shared" si="27"/>
        <v>5544</v>
      </c>
      <c r="K299" s="31">
        <f t="shared" si="25"/>
        <v>0.29004329004328999</v>
      </c>
      <c r="L299" s="32"/>
    </row>
    <row r="300" spans="1:12" ht="13" x14ac:dyDescent="0.3">
      <c r="A300" s="5" t="s">
        <v>10</v>
      </c>
      <c r="B300" s="5" t="s">
        <v>665</v>
      </c>
      <c r="C300" s="16" t="s">
        <v>579</v>
      </c>
      <c r="D300" s="8">
        <f>D31*2+D35*2+D42*2</f>
        <v>9908</v>
      </c>
      <c r="E300" s="9">
        <f>ROUNDUP(E31*2+E35*2+E42*2,-2)</f>
        <v>15200</v>
      </c>
      <c r="F300" s="29">
        <f t="shared" si="22"/>
        <v>0.53411384739604362</v>
      </c>
      <c r="G300" s="31">
        <f t="shared" si="26"/>
        <v>0.34815789473684211</v>
      </c>
      <c r="H300" s="31" t="str">
        <f>VLOOKUP(C300,'Maestro de Productos'!$G:$H,2,0)</f>
        <v>Combo 6 bot.</v>
      </c>
      <c r="I300" s="31"/>
      <c r="J300" s="10">
        <f t="shared" si="27"/>
        <v>15048</v>
      </c>
      <c r="K300" s="31">
        <f t="shared" si="25"/>
        <v>0.34157363104731531</v>
      </c>
      <c r="L300" s="32"/>
    </row>
    <row r="301" spans="1:12" ht="13" x14ac:dyDescent="0.3">
      <c r="A301" s="5" t="s">
        <v>10</v>
      </c>
      <c r="B301" s="5" t="s">
        <v>665</v>
      </c>
      <c r="C301" s="16" t="s">
        <v>580</v>
      </c>
      <c r="D301" s="8">
        <f>D42+D43+D44</f>
        <v>6930</v>
      </c>
      <c r="E301" s="9">
        <f>ROUNDUP(E42+E43+E44,-2)</f>
        <v>12000</v>
      </c>
      <c r="F301" s="29">
        <f t="shared" si="22"/>
        <v>0.73160173160173159</v>
      </c>
      <c r="G301" s="31">
        <f t="shared" si="26"/>
        <v>0.42249999999999999</v>
      </c>
      <c r="H301" s="31" t="str">
        <f>VLOOKUP(C301,'Maestro de Productos'!$G:$H,2,0)</f>
        <v>Combo 3 bot.</v>
      </c>
      <c r="I301" s="31"/>
      <c r="J301" s="10">
        <f t="shared" si="27"/>
        <v>11880</v>
      </c>
      <c r="K301" s="31">
        <f t="shared" si="25"/>
        <v>0.41666666666666663</v>
      </c>
      <c r="L301" s="32"/>
    </row>
    <row r="302" spans="1:12" ht="13" x14ac:dyDescent="0.3">
      <c r="A302" s="5" t="s">
        <v>10</v>
      </c>
      <c r="B302" s="5" t="s">
        <v>665</v>
      </c>
      <c r="C302" s="16" t="s">
        <v>581</v>
      </c>
      <c r="D302" s="8">
        <f>D47+D48+D49</f>
        <v>22335</v>
      </c>
      <c r="E302" s="9">
        <f>ROUNDDOWN(E47+E48+E49,-2)</f>
        <v>33800</v>
      </c>
      <c r="F302" s="29">
        <f t="shared" si="22"/>
        <v>0.51331990149988815</v>
      </c>
      <c r="G302" s="31">
        <f t="shared" si="26"/>
        <v>0.33920118343195271</v>
      </c>
      <c r="H302" s="31" t="str">
        <f>VLOOKUP(C302,'Maestro de Productos'!$G:$H,2,0)</f>
        <v>Combo 3 bot.</v>
      </c>
      <c r="I302" s="31"/>
      <c r="J302" s="10">
        <f t="shared" si="27"/>
        <v>33462</v>
      </c>
      <c r="K302" s="31">
        <f t="shared" si="25"/>
        <v>0.33252644791106334</v>
      </c>
      <c r="L302" s="32"/>
    </row>
    <row r="303" spans="1:12" ht="13" x14ac:dyDescent="0.3">
      <c r="A303" s="5" t="s">
        <v>392</v>
      </c>
      <c r="B303" s="5" t="s">
        <v>665</v>
      </c>
      <c r="C303" s="6" t="s">
        <v>395</v>
      </c>
      <c r="D303" s="8">
        <v>1520.96</v>
      </c>
      <c r="E303" s="9">
        <v>1890</v>
      </c>
      <c r="F303" s="29">
        <f t="shared" si="22"/>
        <v>0.24263622974963184</v>
      </c>
      <c r="G303" s="31">
        <f t="shared" si="26"/>
        <v>0.19525925925925924</v>
      </c>
      <c r="H303" s="31" t="str">
        <f>VLOOKUP(C303,'Maestro de Productos'!$G:$H,2,0)</f>
        <v>1x700</v>
      </c>
      <c r="I303" s="31"/>
      <c r="J303" s="10">
        <f t="shared" si="27"/>
        <v>1871.1</v>
      </c>
      <c r="K303" s="31">
        <f t="shared" si="25"/>
        <v>0.18713056490834268</v>
      </c>
      <c r="L303" s="32"/>
    </row>
    <row r="304" spans="1:12" ht="13" x14ac:dyDescent="0.3">
      <c r="A304" s="5" t="s">
        <v>392</v>
      </c>
      <c r="B304" s="5" t="s">
        <v>665</v>
      </c>
      <c r="C304" s="4" t="s">
        <v>397</v>
      </c>
      <c r="D304" s="8">
        <v>1806.8</v>
      </c>
      <c r="E304" s="9">
        <v>2290</v>
      </c>
      <c r="F304" s="29">
        <f t="shared" si="22"/>
        <v>0.26743413770201463</v>
      </c>
      <c r="G304" s="31">
        <f t="shared" si="26"/>
        <v>0.21100436681222712</v>
      </c>
      <c r="H304" s="31" t="str">
        <f>VLOOKUP(C304,'Maestro de Productos'!$G:$H,2,0)</f>
        <v>1x1000</v>
      </c>
      <c r="I304" s="31"/>
      <c r="J304" s="10">
        <f t="shared" si="27"/>
        <v>2267.1</v>
      </c>
      <c r="K304" s="31">
        <f t="shared" si="25"/>
        <v>0.20303471395174455</v>
      </c>
      <c r="L304" s="32"/>
    </row>
    <row r="305" spans="1:12" ht="13" x14ac:dyDescent="0.3">
      <c r="A305" s="5" t="s">
        <v>392</v>
      </c>
      <c r="B305" s="5" t="s">
        <v>665</v>
      </c>
      <c r="C305" s="4" t="s">
        <v>399</v>
      </c>
      <c r="D305" s="8">
        <v>1808.03</v>
      </c>
      <c r="E305" s="9">
        <v>2290</v>
      </c>
      <c r="F305" s="29">
        <f t="shared" si="22"/>
        <v>0.26657190422725296</v>
      </c>
      <c r="G305" s="31">
        <f t="shared" si="26"/>
        <v>0.21046724890829693</v>
      </c>
      <c r="H305" s="31" t="str">
        <f>VLOOKUP(C305,'Maestro de Productos'!$G:$H,2,0)</f>
        <v>1x700</v>
      </c>
      <c r="I305" s="31"/>
      <c r="J305" s="10">
        <f t="shared" si="27"/>
        <v>2267.1</v>
      </c>
      <c r="K305" s="31">
        <f t="shared" si="25"/>
        <v>0.20249217061444136</v>
      </c>
    </row>
    <row r="306" spans="1:12" ht="13" x14ac:dyDescent="0.3">
      <c r="A306" s="5" t="s">
        <v>392</v>
      </c>
      <c r="B306" s="5" t="s">
        <v>665</v>
      </c>
      <c r="C306" s="6" t="s">
        <v>400</v>
      </c>
      <c r="D306" s="8">
        <v>1437.694</v>
      </c>
      <c r="E306" s="9">
        <v>1890</v>
      </c>
      <c r="F306" s="29">
        <f t="shared" si="22"/>
        <v>0.31460519415118937</v>
      </c>
      <c r="G306" s="31">
        <f t="shared" si="26"/>
        <v>0.23931534391534393</v>
      </c>
      <c r="H306" s="31" t="str">
        <f>VLOOKUP(C306,'Maestro de Productos'!$G:$H,2,0)</f>
        <v>1x700</v>
      </c>
      <c r="I306" s="31"/>
      <c r="J306" s="10">
        <f t="shared" si="27"/>
        <v>1871.1</v>
      </c>
      <c r="K306" s="31">
        <f t="shared" si="25"/>
        <v>0.2316316605205494</v>
      </c>
      <c r="L306" s="32"/>
    </row>
    <row r="307" spans="1:12" ht="13" x14ac:dyDescent="0.3">
      <c r="A307" s="5" t="s">
        <v>392</v>
      </c>
      <c r="B307" s="5" t="s">
        <v>665</v>
      </c>
      <c r="C307" s="4" t="s">
        <v>401</v>
      </c>
      <c r="D307" s="8">
        <f>1425.76*1.21</f>
        <v>1725.1695999999999</v>
      </c>
      <c r="E307" s="9">
        <v>2290</v>
      </c>
      <c r="F307" s="29">
        <f t="shared" si="22"/>
        <v>0.32740572289240433</v>
      </c>
      <c r="G307" s="31">
        <f t="shared" si="26"/>
        <v>0.24665082969432317</v>
      </c>
      <c r="H307" s="31" t="str">
        <f>VLOOKUP(C307,'Maestro de Productos'!$G:$H,2,0)</f>
        <v>1x700</v>
      </c>
      <c r="I307" s="31"/>
      <c r="J307" s="10">
        <f t="shared" si="27"/>
        <v>2267.1</v>
      </c>
      <c r="K307" s="31">
        <f t="shared" si="25"/>
        <v>0.23904124211547795</v>
      </c>
      <c r="L307" s="32"/>
    </row>
    <row r="308" spans="1:12" ht="13" x14ac:dyDescent="0.3">
      <c r="A308" s="5" t="s">
        <v>392</v>
      </c>
      <c r="B308" s="5" t="s">
        <v>665</v>
      </c>
      <c r="C308" s="4" t="s">
        <v>403</v>
      </c>
      <c r="D308" s="8">
        <v>2178.38</v>
      </c>
      <c r="E308" s="9">
        <v>2790</v>
      </c>
      <c r="F308" s="29">
        <f t="shared" si="22"/>
        <v>0.28076827734371412</v>
      </c>
      <c r="G308" s="31">
        <f t="shared" si="26"/>
        <v>0.21921863799283148</v>
      </c>
      <c r="H308" s="31" t="str">
        <f>VLOOKUP(C308,'Maestro de Productos'!$G:$H,2,0)</f>
        <v>1x750</v>
      </c>
      <c r="I308" s="31"/>
      <c r="J308" s="10">
        <f t="shared" si="27"/>
        <v>2762.1</v>
      </c>
      <c r="K308" s="31">
        <f t="shared" si="25"/>
        <v>0.21133195756851664</v>
      </c>
      <c r="L308" s="32"/>
    </row>
    <row r="309" spans="1:12" ht="13" x14ac:dyDescent="0.3">
      <c r="A309" s="5" t="s">
        <v>392</v>
      </c>
      <c r="B309" s="5" t="s">
        <v>665</v>
      </c>
      <c r="C309" s="6" t="s">
        <v>404</v>
      </c>
      <c r="D309" s="8">
        <v>1750</v>
      </c>
      <c r="E309" s="9">
        <v>2290</v>
      </c>
      <c r="F309" s="29">
        <f t="shared" si="22"/>
        <v>0.3085714285714285</v>
      </c>
      <c r="G309" s="31">
        <f t="shared" si="26"/>
        <v>0.23580786026200873</v>
      </c>
      <c r="H309" s="31" t="str">
        <f>VLOOKUP(C309,'Maestro de Productos'!$G:$H,2,0)</f>
        <v>1x750</v>
      </c>
      <c r="I309" s="31"/>
      <c r="J309" s="10">
        <f t="shared" si="27"/>
        <v>2267.1</v>
      </c>
      <c r="K309" s="31">
        <f t="shared" si="25"/>
        <v>0.22808874773940269</v>
      </c>
      <c r="L309" s="32"/>
    </row>
    <row r="310" spans="1:12" ht="13" x14ac:dyDescent="0.3">
      <c r="A310" s="5" t="s">
        <v>392</v>
      </c>
      <c r="B310" s="5" t="s">
        <v>666</v>
      </c>
      <c r="C310" s="4" t="s">
        <v>406</v>
      </c>
      <c r="D310" s="8">
        <v>2886.0000000000005</v>
      </c>
      <c r="E310" s="9">
        <v>4490</v>
      </c>
      <c r="F310" s="29">
        <f t="shared" si="22"/>
        <v>0.55578655578655556</v>
      </c>
      <c r="G310" s="31">
        <f t="shared" si="26"/>
        <v>0.35723830734966577</v>
      </c>
      <c r="H310" s="31" t="str">
        <f>VLOOKUP(C310,'Maestro de Productos'!$G:$H,2,0)</f>
        <v>1x700</v>
      </c>
      <c r="I310" s="31"/>
      <c r="J310" s="10">
        <f t="shared" si="27"/>
        <v>4445.1000000000004</v>
      </c>
      <c r="K310" s="31">
        <f t="shared" si="25"/>
        <v>0.35074576499966248</v>
      </c>
      <c r="L310" s="10"/>
    </row>
    <row r="311" spans="1:12" ht="13" x14ac:dyDescent="0.3">
      <c r="A311" s="5" t="s">
        <v>392</v>
      </c>
      <c r="B311" s="5" t="s">
        <v>665</v>
      </c>
      <c r="C311" s="4" t="s">
        <v>408</v>
      </c>
      <c r="D311" s="8">
        <v>4275.45</v>
      </c>
      <c r="E311" s="9">
        <v>5390</v>
      </c>
      <c r="F311" s="29">
        <f t="shared" si="22"/>
        <v>0.26068600965980204</v>
      </c>
      <c r="G311" s="31">
        <f t="shared" si="26"/>
        <v>0.20678107606679041</v>
      </c>
      <c r="H311" s="31" t="str">
        <f>VLOOKUP(C311,'Maestro de Productos'!$G:$H,2,0)</f>
        <v>1x700</v>
      </c>
      <c r="I311" s="31"/>
      <c r="J311" s="10">
        <f t="shared" si="27"/>
        <v>5336.1</v>
      </c>
      <c r="K311" s="31">
        <f t="shared" si="25"/>
        <v>0.19876876370382868</v>
      </c>
      <c r="L311" s="32"/>
    </row>
    <row r="312" spans="1:12" ht="13" x14ac:dyDescent="0.3">
      <c r="A312" s="5" t="s">
        <v>392</v>
      </c>
      <c r="B312" s="5" t="s">
        <v>665</v>
      </c>
      <c r="C312" s="6" t="s">
        <v>410</v>
      </c>
      <c r="D312" s="8">
        <v>5204</v>
      </c>
      <c r="E312" s="9">
        <v>6690</v>
      </c>
      <c r="F312" s="29">
        <f t="shared" si="22"/>
        <v>0.28554957724827057</v>
      </c>
      <c r="G312" s="31">
        <f t="shared" si="26"/>
        <v>0.2221225710014948</v>
      </c>
      <c r="H312" s="31" t="str">
        <f>VLOOKUP(C312,'Maestro de Productos'!$G:$H,2,0)</f>
        <v>1x500</v>
      </c>
      <c r="I312" s="31"/>
      <c r="J312" s="10">
        <f t="shared" si="27"/>
        <v>6623.1</v>
      </c>
      <c r="K312" s="31">
        <f t="shared" si="25"/>
        <v>0.21426522323383312</v>
      </c>
      <c r="L312" s="32"/>
    </row>
    <row r="313" spans="1:12" ht="13" x14ac:dyDescent="0.3">
      <c r="A313" s="5" t="s">
        <v>392</v>
      </c>
      <c r="B313" s="5" t="s">
        <v>665</v>
      </c>
      <c r="C313" s="4" t="s">
        <v>412</v>
      </c>
      <c r="D313" s="8">
        <v>6048.39</v>
      </c>
      <c r="E313" s="9">
        <v>7990</v>
      </c>
      <c r="F313" s="29">
        <f t="shared" si="22"/>
        <v>0.32101269924723752</v>
      </c>
      <c r="G313" s="31">
        <f t="shared" si="26"/>
        <v>0.24300500625782229</v>
      </c>
      <c r="H313" s="31" t="str">
        <f>VLOOKUP(C313,'Maestro de Productos'!$G:$H,2,0)</f>
        <v>1x700</v>
      </c>
      <c r="I313" s="31"/>
      <c r="J313" s="10">
        <f t="shared" si="27"/>
        <v>7910.1</v>
      </c>
      <c r="K313" s="31">
        <f t="shared" si="25"/>
        <v>0.23535859217961841</v>
      </c>
      <c r="L313" s="32"/>
    </row>
    <row r="314" spans="1:12" ht="13" x14ac:dyDescent="0.3">
      <c r="A314" s="5" t="s">
        <v>392</v>
      </c>
      <c r="B314" s="5" t="s">
        <v>666</v>
      </c>
      <c r="C314" s="6" t="s">
        <v>413</v>
      </c>
      <c r="D314" s="8">
        <v>6750</v>
      </c>
      <c r="E314" s="9">
        <v>9490</v>
      </c>
      <c r="F314" s="29">
        <f t="shared" si="22"/>
        <v>0.40592592592592602</v>
      </c>
      <c r="G314" s="31">
        <f t="shared" si="26"/>
        <v>0.28872497365648053</v>
      </c>
      <c r="H314" s="31" t="str">
        <f>VLOOKUP(C314,'Maestro de Productos'!$G:$H,2,0)</f>
        <v>1x700</v>
      </c>
      <c r="I314" s="31"/>
      <c r="J314" s="10">
        <f t="shared" si="27"/>
        <v>9395.1</v>
      </c>
      <c r="K314" s="31">
        <f t="shared" si="25"/>
        <v>0.28154037743078841</v>
      </c>
      <c r="L314" s="10"/>
    </row>
    <row r="315" spans="1:12" ht="13" x14ac:dyDescent="0.3">
      <c r="A315" s="5" t="s">
        <v>414</v>
      </c>
      <c r="B315" s="5" t="s">
        <v>665</v>
      </c>
      <c r="C315" s="6" t="s">
        <v>416</v>
      </c>
      <c r="D315" s="8">
        <v>1289.22</v>
      </c>
      <c r="E315" s="9">
        <v>1650</v>
      </c>
      <c r="F315" s="29">
        <f t="shared" si="22"/>
        <v>0.27984362637874072</v>
      </c>
      <c r="G315" s="31">
        <f t="shared" si="26"/>
        <v>0.21865454545454543</v>
      </c>
      <c r="H315" s="31" t="str">
        <f>VLOOKUP(C315,'Maestro de Productos'!$G:$H,2,0)</f>
        <v>1x750</v>
      </c>
      <c r="I315" s="31"/>
      <c r="J315" s="10">
        <f t="shared" si="27"/>
        <v>1633.5</v>
      </c>
      <c r="K315" s="31">
        <f t="shared" si="25"/>
        <v>0.21076216712580342</v>
      </c>
      <c r="L315" s="32"/>
    </row>
    <row r="316" spans="1:12" ht="13" x14ac:dyDescent="0.3">
      <c r="A316" s="5" t="s">
        <v>414</v>
      </c>
      <c r="B316" s="5" t="s">
        <v>665</v>
      </c>
      <c r="C316" s="6" t="s">
        <v>417</v>
      </c>
      <c r="D316" s="8">
        <v>1345.043226</v>
      </c>
      <c r="E316" s="9">
        <v>1700</v>
      </c>
      <c r="F316" s="29">
        <f t="shared" si="22"/>
        <v>0.26389990086459858</v>
      </c>
      <c r="G316" s="31">
        <f t="shared" si="26"/>
        <v>0.20879810235294116</v>
      </c>
      <c r="H316" s="31" t="str">
        <f>VLOOKUP(C316,'Maestro de Productos'!$G:$H,2,0)</f>
        <v>1x750</v>
      </c>
      <c r="I316" s="31"/>
      <c r="J316" s="10">
        <f t="shared" si="27"/>
        <v>1683</v>
      </c>
      <c r="K316" s="31">
        <f t="shared" si="25"/>
        <v>0.20080616399286988</v>
      </c>
      <c r="L316" s="32"/>
    </row>
    <row r="317" spans="1:12" ht="13" x14ac:dyDescent="0.3">
      <c r="A317" s="5" t="s">
        <v>414</v>
      </c>
      <c r="B317" s="5" t="s">
        <v>665</v>
      </c>
      <c r="C317" s="4" t="s">
        <v>419</v>
      </c>
      <c r="D317" s="8">
        <v>1730</v>
      </c>
      <c r="E317" s="9">
        <v>2490</v>
      </c>
      <c r="F317" s="29">
        <f t="shared" si="22"/>
        <v>0.43930635838150289</v>
      </c>
      <c r="G317" s="31">
        <f t="shared" si="26"/>
        <v>0.30522088353413657</v>
      </c>
      <c r="H317" s="31" t="str">
        <f>VLOOKUP(C317,'Maestro de Productos'!$G:$H,2,0)</f>
        <v>1x750</v>
      </c>
      <c r="I317" s="31"/>
      <c r="J317" s="10">
        <f t="shared" si="27"/>
        <v>2465.1</v>
      </c>
      <c r="K317" s="31">
        <f t="shared" si="25"/>
        <v>0.29820291266074395</v>
      </c>
      <c r="L317" s="32"/>
    </row>
    <row r="318" spans="1:12" ht="13" x14ac:dyDescent="0.3">
      <c r="A318" s="5" t="s">
        <v>414</v>
      </c>
      <c r="B318" s="5" t="s">
        <v>665</v>
      </c>
      <c r="C318" s="4" t="s">
        <v>421</v>
      </c>
      <c r="D318" s="8">
        <v>1690</v>
      </c>
      <c r="E318" s="9">
        <v>2190</v>
      </c>
      <c r="F318" s="29">
        <f t="shared" si="22"/>
        <v>0.29585798816568043</v>
      </c>
      <c r="G318" s="31">
        <f t="shared" si="26"/>
        <v>0.22831050228310501</v>
      </c>
      <c r="H318" s="31" t="str">
        <f>VLOOKUP(C318,'Maestro de Productos'!$G:$H,2,0)</f>
        <v>1x700</v>
      </c>
      <c r="I318" s="31"/>
      <c r="J318" s="10">
        <f t="shared" si="27"/>
        <v>2168.1</v>
      </c>
      <c r="K318" s="31">
        <f t="shared" si="25"/>
        <v>0.22051565887182323</v>
      </c>
      <c r="L318" s="32"/>
    </row>
    <row r="319" spans="1:12" ht="13" x14ac:dyDescent="0.3">
      <c r="A319" s="5" t="s">
        <v>414</v>
      </c>
      <c r="B319" s="5" t="s">
        <v>665</v>
      </c>
      <c r="C319" s="6" t="s">
        <v>422</v>
      </c>
      <c r="D319" s="8">
        <v>1740.45</v>
      </c>
      <c r="E319" s="9">
        <v>2590</v>
      </c>
      <c r="F319" s="29">
        <f t="shared" si="22"/>
        <v>0.48812088827602063</v>
      </c>
      <c r="G319" s="31">
        <f t="shared" si="26"/>
        <v>0.32801158301158295</v>
      </c>
      <c r="H319" s="31" t="str">
        <f>VLOOKUP(C319,'Maestro de Productos'!$G:$H,2,0)</f>
        <v>1x750</v>
      </c>
      <c r="I319" s="31"/>
      <c r="J319" s="10">
        <f t="shared" si="27"/>
        <v>2564.1</v>
      </c>
      <c r="K319" s="31">
        <f t="shared" si="25"/>
        <v>0.3212238212238212</v>
      </c>
      <c r="L319" s="32"/>
    </row>
    <row r="320" spans="1:12" ht="13" x14ac:dyDescent="0.3">
      <c r="A320" s="5" t="s">
        <v>423</v>
      </c>
      <c r="B320" s="5" t="s">
        <v>665</v>
      </c>
      <c r="C320" s="6" t="s">
        <v>425</v>
      </c>
      <c r="D320" s="8">
        <v>1809.36</v>
      </c>
      <c r="E320" s="9">
        <v>2290</v>
      </c>
      <c r="F320" s="29">
        <f t="shared" si="22"/>
        <v>0.26564088959632137</v>
      </c>
      <c r="G320" s="31">
        <f t="shared" si="26"/>
        <v>0.20988646288209611</v>
      </c>
      <c r="H320" s="31" t="str">
        <f>VLOOKUP(C320,'Maestro de Productos'!$G:$H,2,0)</f>
        <v>1x750</v>
      </c>
      <c r="I320" s="31"/>
      <c r="J320" s="10">
        <f t="shared" si="27"/>
        <v>2267.1</v>
      </c>
      <c r="K320" s="31">
        <f t="shared" si="25"/>
        <v>0.20190551806272328</v>
      </c>
      <c r="L320" s="32"/>
    </row>
    <row r="321" spans="1:12" ht="13" x14ac:dyDescent="0.3">
      <c r="A321" s="5" t="s">
        <v>423</v>
      </c>
      <c r="B321" s="5" t="s">
        <v>665</v>
      </c>
      <c r="C321" s="4" t="s">
        <v>426</v>
      </c>
      <c r="D321" s="8">
        <v>6605.29</v>
      </c>
      <c r="E321" s="9">
        <v>8290</v>
      </c>
      <c r="F321" s="29">
        <f t="shared" si="22"/>
        <v>0.25505466073404803</v>
      </c>
      <c r="G321" s="31">
        <f t="shared" si="26"/>
        <v>0.20322195416164057</v>
      </c>
      <c r="H321" s="31" t="str">
        <f>VLOOKUP(C321,'Maestro de Productos'!$G:$H,2,0)</f>
        <v>1x750</v>
      </c>
      <c r="I321" s="31"/>
      <c r="J321" s="10">
        <f t="shared" ref="J321:J352" si="28">E321*0.99</f>
        <v>8207.1</v>
      </c>
      <c r="K321" s="31">
        <f t="shared" si="25"/>
        <v>0.19517369107236426</v>
      </c>
      <c r="L321" s="32"/>
    </row>
    <row r="322" spans="1:12" ht="13" x14ac:dyDescent="0.3">
      <c r="A322" s="5" t="s">
        <v>423</v>
      </c>
      <c r="B322" s="5" t="s">
        <v>665</v>
      </c>
      <c r="C322" s="4" t="s">
        <v>428</v>
      </c>
      <c r="D322" s="8">
        <v>2169.3200000000002</v>
      </c>
      <c r="E322" s="9">
        <v>3290</v>
      </c>
      <c r="F322" s="29">
        <f t="shared" si="22"/>
        <v>0.51660428152600812</v>
      </c>
      <c r="G322" s="31">
        <f t="shared" si="26"/>
        <v>0.34063221884498474</v>
      </c>
      <c r="H322" s="31" t="str">
        <f>VLOOKUP(C322,'Maestro de Productos'!$G:$H,2,0)</f>
        <v>1x750</v>
      </c>
      <c r="I322" s="31"/>
      <c r="J322" s="10">
        <f t="shared" si="28"/>
        <v>3257.1</v>
      </c>
      <c r="K322" s="31">
        <f t="shared" ref="K322:K385" si="29">IFERROR(1-D322/J322,0)</f>
        <v>0.33397193822725735</v>
      </c>
      <c r="L322" s="32"/>
    </row>
    <row r="323" spans="1:12" ht="13" x14ac:dyDescent="0.3">
      <c r="A323" s="5" t="s">
        <v>423</v>
      </c>
      <c r="B323" s="5" t="s">
        <v>665</v>
      </c>
      <c r="C323" s="6" t="s">
        <v>429</v>
      </c>
      <c r="D323" s="8">
        <v>4574.6360000000004</v>
      </c>
      <c r="E323" s="9">
        <v>6290</v>
      </c>
      <c r="F323" s="29">
        <f t="shared" ref="F323:F391" si="30">E323/D323-1</f>
        <v>0.37497278471992068</v>
      </c>
      <c r="G323" s="31">
        <f t="shared" si="26"/>
        <v>0.27271287758346574</v>
      </c>
      <c r="H323" s="31" t="str">
        <f>VLOOKUP(C323,'Maestro de Productos'!$G:$H,2,0)</f>
        <v>1x750</v>
      </c>
      <c r="I323" s="31"/>
      <c r="J323" s="10">
        <f t="shared" si="28"/>
        <v>6227.1</v>
      </c>
      <c r="K323" s="31">
        <f t="shared" si="29"/>
        <v>0.26536654301360185</v>
      </c>
      <c r="L323" s="32"/>
    </row>
    <row r="324" spans="1:12" ht="13" x14ac:dyDescent="0.3">
      <c r="A324" s="5" t="s">
        <v>423</v>
      </c>
      <c r="B324" s="5" t="s">
        <v>665</v>
      </c>
      <c r="C324" s="4" t="s">
        <v>430</v>
      </c>
      <c r="D324" s="8">
        <v>8777.1889999999985</v>
      </c>
      <c r="E324" s="9">
        <v>11990</v>
      </c>
      <c r="F324" s="29">
        <f t="shared" si="30"/>
        <v>0.36604099558526104</v>
      </c>
      <c r="G324" s="31">
        <f t="shared" si="26"/>
        <v>0.26795754795663063</v>
      </c>
      <c r="H324" s="31" t="str">
        <f>VLOOKUP(C324,'Maestro de Productos'!$G:$H,2,0)</f>
        <v>1x750</v>
      </c>
      <c r="I324" s="31"/>
      <c r="J324" s="10">
        <f t="shared" si="28"/>
        <v>11870.1</v>
      </c>
      <c r="K324" s="31">
        <f t="shared" si="29"/>
        <v>0.26056317975417242</v>
      </c>
      <c r="L324" s="32"/>
    </row>
    <row r="325" spans="1:12" ht="13" x14ac:dyDescent="0.3">
      <c r="A325" s="5" t="s">
        <v>431</v>
      </c>
      <c r="B325" s="5" t="s">
        <v>665</v>
      </c>
      <c r="C325" s="6" t="s">
        <v>433</v>
      </c>
      <c r="D325" s="8">
        <f>2825.59*1.15</f>
        <v>3249.4285</v>
      </c>
      <c r="E325" s="9">
        <v>13990</v>
      </c>
      <c r="F325" s="29">
        <f t="shared" si="30"/>
        <v>3.3053724678047232</v>
      </c>
      <c r="G325" s="31">
        <f t="shared" si="26"/>
        <v>0.76773205861329519</v>
      </c>
      <c r="H325" s="31" t="str">
        <f>VLOOKUP(C325,'Maestro de Productos'!$G:$H,2,0)</f>
        <v>1x750</v>
      </c>
      <c r="I325" s="31"/>
      <c r="J325" s="10">
        <f t="shared" si="28"/>
        <v>13850.1</v>
      </c>
      <c r="K325" s="31">
        <f t="shared" si="29"/>
        <v>0.76538591779120724</v>
      </c>
      <c r="L325" s="32"/>
    </row>
    <row r="326" spans="1:12" ht="13" x14ac:dyDescent="0.3">
      <c r="A326" s="5" t="s">
        <v>431</v>
      </c>
      <c r="B326" s="5" t="s">
        <v>665</v>
      </c>
      <c r="C326" s="6" t="s">
        <v>434</v>
      </c>
      <c r="D326" s="8">
        <f>2825.59*1.15</f>
        <v>3249.4285</v>
      </c>
      <c r="E326" s="9">
        <v>13990</v>
      </c>
      <c r="F326" s="29">
        <f t="shared" si="30"/>
        <v>3.3053724678047232</v>
      </c>
      <c r="G326" s="31">
        <f t="shared" si="26"/>
        <v>0.76773205861329519</v>
      </c>
      <c r="H326" s="31" t="str">
        <f>VLOOKUP(C326,'Maestro de Productos'!$G:$H,2,0)</f>
        <v>1x750</v>
      </c>
      <c r="I326" s="31"/>
      <c r="J326" s="10">
        <f t="shared" si="28"/>
        <v>13850.1</v>
      </c>
      <c r="K326" s="31">
        <f t="shared" si="29"/>
        <v>0.76538591779120724</v>
      </c>
      <c r="L326" s="32"/>
    </row>
    <row r="327" spans="1:12" ht="13" x14ac:dyDescent="0.3">
      <c r="A327" s="5" t="s">
        <v>435</v>
      </c>
      <c r="B327" s="5" t="s">
        <v>666</v>
      </c>
      <c r="C327" s="4" t="s">
        <v>437</v>
      </c>
      <c r="D327" s="8">
        <v>348.74666666666667</v>
      </c>
      <c r="E327" s="9">
        <v>390</v>
      </c>
      <c r="F327" s="29">
        <f t="shared" si="30"/>
        <v>0.11829025844930419</v>
      </c>
      <c r="G327" s="31">
        <f t="shared" si="26"/>
        <v>0.10577777777777775</v>
      </c>
      <c r="H327" s="31" t="str">
        <f>VLOOKUP(C327,'Maestro de Productos'!$G:$H,2,0)</f>
        <v>1x700</v>
      </c>
      <c r="I327" s="31"/>
      <c r="J327" s="10">
        <f t="shared" si="28"/>
        <v>386.1</v>
      </c>
      <c r="K327" s="31">
        <f t="shared" si="29"/>
        <v>9.6745230078563504E-2</v>
      </c>
      <c r="L327" s="10"/>
    </row>
    <row r="328" spans="1:12" ht="13" x14ac:dyDescent="0.3">
      <c r="A328" s="5" t="s">
        <v>435</v>
      </c>
      <c r="B328" s="5" t="s">
        <v>666</v>
      </c>
      <c r="C328" s="4" t="s">
        <v>438</v>
      </c>
      <c r="D328" s="8">
        <v>377.17333333333335</v>
      </c>
      <c r="E328" s="9">
        <v>420</v>
      </c>
      <c r="F328" s="29">
        <f t="shared" si="30"/>
        <v>0.11354638009049767</v>
      </c>
      <c r="G328" s="31">
        <f t="shared" si="26"/>
        <v>0.10196825396825393</v>
      </c>
      <c r="H328" s="31" t="str">
        <f>VLOOKUP(C328,'Maestro de Productos'!$G:$H,2,0)</f>
        <v>1x700</v>
      </c>
      <c r="I328" s="31"/>
      <c r="J328" s="10">
        <f t="shared" si="28"/>
        <v>415.8</v>
      </c>
      <c r="K328" s="31">
        <f t="shared" si="29"/>
        <v>9.2897226230559515E-2</v>
      </c>
      <c r="L328" s="10"/>
    </row>
    <row r="329" spans="1:12" ht="13" x14ac:dyDescent="0.3">
      <c r="A329" s="5" t="s">
        <v>435</v>
      </c>
      <c r="B329" s="5" t="s">
        <v>666</v>
      </c>
      <c r="C329" s="4" t="s">
        <v>439</v>
      </c>
      <c r="D329" s="8">
        <v>377.17333333333335</v>
      </c>
      <c r="E329" s="9">
        <v>420</v>
      </c>
      <c r="F329" s="29">
        <f t="shared" si="30"/>
        <v>0.11354638009049767</v>
      </c>
      <c r="G329" s="31">
        <f t="shared" si="26"/>
        <v>0.10196825396825393</v>
      </c>
      <c r="H329" s="31" t="str">
        <f>VLOOKUP(C329,'Maestro de Productos'!$G:$H,2,0)</f>
        <v>1x700</v>
      </c>
      <c r="I329" s="31"/>
      <c r="J329" s="10">
        <f t="shared" si="28"/>
        <v>415.8</v>
      </c>
      <c r="K329" s="31">
        <f t="shared" si="29"/>
        <v>9.2897226230559515E-2</v>
      </c>
      <c r="L329" s="10"/>
    </row>
    <row r="330" spans="1:12" ht="13" x14ac:dyDescent="0.3">
      <c r="A330" s="5" t="s">
        <v>435</v>
      </c>
      <c r="B330" s="5" t="s">
        <v>666</v>
      </c>
      <c r="C330" s="4" t="s">
        <v>440</v>
      </c>
      <c r="D330" s="8">
        <v>377.17333333333335</v>
      </c>
      <c r="E330" s="9">
        <v>420</v>
      </c>
      <c r="F330" s="29">
        <f t="shared" si="30"/>
        <v>0.11354638009049767</v>
      </c>
      <c r="G330" s="31">
        <f t="shared" si="26"/>
        <v>0.10196825396825393</v>
      </c>
      <c r="H330" s="31" t="str">
        <f>VLOOKUP(C330,'Maestro de Productos'!$G:$H,2,0)</f>
        <v>1x700</v>
      </c>
      <c r="I330" s="31"/>
      <c r="J330" s="10">
        <f t="shared" si="28"/>
        <v>415.8</v>
      </c>
      <c r="K330" s="31">
        <f t="shared" si="29"/>
        <v>9.2897226230559515E-2</v>
      </c>
      <c r="L330" s="10"/>
    </row>
    <row r="331" spans="1:12" ht="13" x14ac:dyDescent="0.3">
      <c r="A331" s="5" t="s">
        <v>435</v>
      </c>
      <c r="B331" s="5" t="s">
        <v>666</v>
      </c>
      <c r="C331" s="4" t="s">
        <v>441</v>
      </c>
      <c r="D331" s="8">
        <v>377.17333333333335</v>
      </c>
      <c r="E331" s="9">
        <v>420</v>
      </c>
      <c r="F331" s="29">
        <f t="shared" si="30"/>
        <v>0.11354638009049767</v>
      </c>
      <c r="G331" s="31">
        <f t="shared" si="26"/>
        <v>0.10196825396825393</v>
      </c>
      <c r="H331" s="31" t="str">
        <f>VLOOKUP(C331,'Maestro de Productos'!$G:$H,2,0)</f>
        <v>1x700</v>
      </c>
      <c r="I331" s="31"/>
      <c r="J331" s="10">
        <f t="shared" si="28"/>
        <v>415.8</v>
      </c>
      <c r="K331" s="31">
        <f t="shared" si="29"/>
        <v>9.2897226230559515E-2</v>
      </c>
      <c r="L331" s="10"/>
    </row>
    <row r="332" spans="1:12" ht="13" x14ac:dyDescent="0.3">
      <c r="A332" s="5" t="s">
        <v>435</v>
      </c>
      <c r="B332" s="5" t="s">
        <v>666</v>
      </c>
      <c r="C332" s="4" t="s">
        <v>442</v>
      </c>
      <c r="D332" s="8">
        <v>377.17333333333335</v>
      </c>
      <c r="E332" s="9">
        <v>420</v>
      </c>
      <c r="F332" s="29">
        <f t="shared" si="30"/>
        <v>0.11354638009049767</v>
      </c>
      <c r="G332" s="31">
        <f t="shared" si="26"/>
        <v>0.10196825396825393</v>
      </c>
      <c r="H332" s="31" t="str">
        <f>VLOOKUP(C332,'Maestro de Productos'!$G:$H,2,0)</f>
        <v>1x700</v>
      </c>
      <c r="I332" s="31"/>
      <c r="J332" s="10">
        <f t="shared" si="28"/>
        <v>415.8</v>
      </c>
      <c r="K332" s="31">
        <f t="shared" si="29"/>
        <v>9.2897226230559515E-2</v>
      </c>
      <c r="L332" s="10"/>
    </row>
    <row r="333" spans="1:12" ht="13" x14ac:dyDescent="0.3">
      <c r="A333" s="5" t="s">
        <v>435</v>
      </c>
      <c r="B333" s="5" t="s">
        <v>665</v>
      </c>
      <c r="C333" s="6" t="s">
        <v>444</v>
      </c>
      <c r="D333" s="8">
        <v>1333</v>
      </c>
      <c r="E333" s="9">
        <v>1750</v>
      </c>
      <c r="F333" s="29">
        <f t="shared" si="30"/>
        <v>0.31282820705176295</v>
      </c>
      <c r="G333" s="31">
        <f t="shared" si="26"/>
        <v>0.23828571428571432</v>
      </c>
      <c r="H333" s="31" t="str">
        <f>VLOOKUP(C333,'Maestro de Productos'!$G:$H,2,0)</f>
        <v>1x750</v>
      </c>
      <c r="I333" s="31"/>
      <c r="J333" s="10">
        <f t="shared" si="28"/>
        <v>1732.5</v>
      </c>
      <c r="K333" s="31">
        <f t="shared" si="29"/>
        <v>0.23059163059163057</v>
      </c>
      <c r="L333" s="32"/>
    </row>
    <row r="334" spans="1:12" ht="13" x14ac:dyDescent="0.3">
      <c r="A334" s="5" t="s">
        <v>435</v>
      </c>
      <c r="B334" s="5" t="s">
        <v>665</v>
      </c>
      <c r="C334" s="6" t="s">
        <v>445</v>
      </c>
      <c r="D334" s="8">
        <v>1476</v>
      </c>
      <c r="E334" s="9">
        <v>1950</v>
      </c>
      <c r="F334" s="29">
        <f t="shared" si="30"/>
        <v>0.32113821138211374</v>
      </c>
      <c r="G334" s="31">
        <f t="shared" si="26"/>
        <v>0.24307692307692308</v>
      </c>
      <c r="H334" s="31" t="str">
        <f>VLOOKUP(C334,'Maestro de Productos'!$G:$H,2,0)</f>
        <v>1x750</v>
      </c>
      <c r="I334" s="31"/>
      <c r="J334" s="10">
        <f t="shared" si="28"/>
        <v>1930.5</v>
      </c>
      <c r="K334" s="31">
        <f t="shared" si="29"/>
        <v>0.23543123543123545</v>
      </c>
      <c r="L334" s="32"/>
    </row>
    <row r="335" spans="1:12" ht="13" x14ac:dyDescent="0.3">
      <c r="A335" s="5" t="s">
        <v>435</v>
      </c>
      <c r="B335" s="5" t="s">
        <v>665</v>
      </c>
      <c r="C335" s="4" t="s">
        <v>446</v>
      </c>
      <c r="D335" s="8">
        <v>1476</v>
      </c>
      <c r="E335" s="9">
        <v>1950</v>
      </c>
      <c r="F335" s="29">
        <f t="shared" si="30"/>
        <v>0.32113821138211374</v>
      </c>
      <c r="G335" s="31">
        <f t="shared" si="26"/>
        <v>0.24307692307692308</v>
      </c>
      <c r="H335" s="31" t="str">
        <f>VLOOKUP(C335,'Maestro de Productos'!$G:$H,2,0)</f>
        <v>1x750</v>
      </c>
      <c r="I335" s="31"/>
      <c r="J335" s="10">
        <f t="shared" si="28"/>
        <v>1930.5</v>
      </c>
      <c r="K335" s="31">
        <f t="shared" si="29"/>
        <v>0.23543123543123545</v>
      </c>
      <c r="L335" s="32"/>
    </row>
    <row r="336" spans="1:12" ht="13" x14ac:dyDescent="0.3">
      <c r="A336" s="5" t="s">
        <v>435</v>
      </c>
      <c r="B336" s="5" t="s">
        <v>665</v>
      </c>
      <c r="C336" s="6" t="s">
        <v>447</v>
      </c>
      <c r="D336" s="8">
        <v>1476</v>
      </c>
      <c r="E336" s="9">
        <v>1950</v>
      </c>
      <c r="F336" s="29">
        <f t="shared" si="30"/>
        <v>0.32113821138211374</v>
      </c>
      <c r="G336" s="31">
        <f t="shared" si="26"/>
        <v>0.24307692307692308</v>
      </c>
      <c r="H336" s="31" t="str">
        <f>VLOOKUP(C336,'Maestro de Productos'!$G:$H,2,0)</f>
        <v>1x750</v>
      </c>
      <c r="I336" s="31"/>
      <c r="J336" s="10">
        <f t="shared" si="28"/>
        <v>1930.5</v>
      </c>
      <c r="K336" s="31">
        <f t="shared" si="29"/>
        <v>0.23543123543123545</v>
      </c>
      <c r="L336" s="32"/>
    </row>
    <row r="337" spans="1:12" ht="13" x14ac:dyDescent="0.3">
      <c r="A337" s="5" t="s">
        <v>435</v>
      </c>
      <c r="B337" s="5" t="s">
        <v>665</v>
      </c>
      <c r="C337" s="4" t="s">
        <v>448</v>
      </c>
      <c r="D337" s="8">
        <v>1476</v>
      </c>
      <c r="E337" s="9">
        <v>1950</v>
      </c>
      <c r="F337" s="29">
        <f t="shared" si="30"/>
        <v>0.32113821138211374</v>
      </c>
      <c r="G337" s="31">
        <f t="shared" si="26"/>
        <v>0.24307692307692308</v>
      </c>
      <c r="H337" s="31" t="str">
        <f>VLOOKUP(C337,'Maestro de Productos'!$G:$H,2,0)</f>
        <v>1x750</v>
      </c>
      <c r="I337" s="31"/>
      <c r="J337" s="10">
        <f t="shared" si="28"/>
        <v>1930.5</v>
      </c>
      <c r="K337" s="31">
        <f t="shared" si="29"/>
        <v>0.23543123543123545</v>
      </c>
      <c r="L337" s="32"/>
    </row>
    <row r="338" spans="1:12" ht="13" x14ac:dyDescent="0.3">
      <c r="A338" s="5" t="s">
        <v>435</v>
      </c>
      <c r="B338" s="5" t="s">
        <v>665</v>
      </c>
      <c r="C338" s="6" t="s">
        <v>449</v>
      </c>
      <c r="D338" s="8">
        <v>1476</v>
      </c>
      <c r="E338" s="9">
        <v>1950</v>
      </c>
      <c r="F338" s="29">
        <f t="shared" si="30"/>
        <v>0.32113821138211374</v>
      </c>
      <c r="G338" s="31">
        <f t="shared" si="26"/>
        <v>0.24307692307692308</v>
      </c>
      <c r="H338" s="31" t="str">
        <f>VLOOKUP(C338,'Maestro de Productos'!$G:$H,2,0)</f>
        <v>1x750</v>
      </c>
      <c r="I338" s="31"/>
      <c r="J338" s="10">
        <f t="shared" si="28"/>
        <v>1930.5</v>
      </c>
      <c r="K338" s="31">
        <f t="shared" si="29"/>
        <v>0.23543123543123545</v>
      </c>
      <c r="L338" s="32"/>
    </row>
    <row r="339" spans="1:12" ht="13" x14ac:dyDescent="0.3">
      <c r="A339" s="5" t="s">
        <v>435</v>
      </c>
      <c r="B339" s="5" t="s">
        <v>665</v>
      </c>
      <c r="C339" s="4" t="s">
        <v>450</v>
      </c>
      <c r="D339" s="8">
        <v>1476</v>
      </c>
      <c r="E339" s="9">
        <v>1950</v>
      </c>
      <c r="F339" s="29">
        <f t="shared" si="30"/>
        <v>0.32113821138211374</v>
      </c>
      <c r="G339" s="31">
        <f t="shared" si="26"/>
        <v>0.24307692307692308</v>
      </c>
      <c r="H339" s="31" t="str">
        <f>VLOOKUP(C339,'Maestro de Productos'!$G:$H,2,0)</f>
        <v>1x750</v>
      </c>
      <c r="I339" s="31"/>
      <c r="J339" s="10">
        <f t="shared" si="28"/>
        <v>1930.5</v>
      </c>
      <c r="K339" s="31">
        <f t="shared" si="29"/>
        <v>0.23543123543123545</v>
      </c>
      <c r="L339" s="32"/>
    </row>
    <row r="340" spans="1:12" ht="13" x14ac:dyDescent="0.3">
      <c r="A340" s="5" t="s">
        <v>435</v>
      </c>
      <c r="B340" s="5" t="s">
        <v>665</v>
      </c>
      <c r="C340" s="4" t="s">
        <v>451</v>
      </c>
      <c r="D340" s="8">
        <v>1476</v>
      </c>
      <c r="E340" s="9">
        <v>1950</v>
      </c>
      <c r="F340" s="29">
        <f t="shared" si="30"/>
        <v>0.32113821138211374</v>
      </c>
      <c r="G340" s="31">
        <f t="shared" si="26"/>
        <v>0.24307692307692308</v>
      </c>
      <c r="H340" s="31" t="str">
        <f>VLOOKUP(C340,'Maestro de Productos'!$G:$H,2,0)</f>
        <v>1x750</v>
      </c>
      <c r="I340" s="31"/>
      <c r="J340" s="10">
        <f t="shared" si="28"/>
        <v>1930.5</v>
      </c>
      <c r="K340" s="31">
        <f t="shared" si="29"/>
        <v>0.23543123543123545</v>
      </c>
      <c r="L340" s="32"/>
    </row>
    <row r="341" spans="1:12" ht="13" x14ac:dyDescent="0.3">
      <c r="A341" s="5" t="s">
        <v>435</v>
      </c>
      <c r="B341" s="5" t="s">
        <v>665</v>
      </c>
      <c r="C341" s="26" t="s">
        <v>704</v>
      </c>
      <c r="D341" s="8">
        <v>1476</v>
      </c>
      <c r="E341" s="9">
        <v>1950</v>
      </c>
      <c r="F341" s="29">
        <f t="shared" si="30"/>
        <v>0.32113821138211374</v>
      </c>
      <c r="G341" s="31">
        <f t="shared" si="26"/>
        <v>0.24307692307692308</v>
      </c>
      <c r="H341" s="31" t="str">
        <f>VLOOKUP(C341,'Maestro de Productos'!$G:$H,2,0)</f>
        <v>1x750</v>
      </c>
      <c r="I341" s="31"/>
      <c r="J341" s="10">
        <f t="shared" si="28"/>
        <v>1930.5</v>
      </c>
      <c r="K341" s="31">
        <f t="shared" si="29"/>
        <v>0.23543123543123545</v>
      </c>
      <c r="L341" s="32"/>
    </row>
    <row r="342" spans="1:12" ht="13" x14ac:dyDescent="0.3">
      <c r="A342" s="5" t="s">
        <v>435</v>
      </c>
      <c r="B342" s="5" t="s">
        <v>665</v>
      </c>
      <c r="C342" s="6" t="s">
        <v>453</v>
      </c>
      <c r="D342" s="8">
        <v>1455</v>
      </c>
      <c r="E342" s="9">
        <v>1890</v>
      </c>
      <c r="F342" s="29">
        <f t="shared" si="30"/>
        <v>0.2989690721649485</v>
      </c>
      <c r="G342" s="31">
        <f t="shared" si="26"/>
        <v>0.23015873015873012</v>
      </c>
      <c r="H342" s="31" t="str">
        <f>VLOOKUP(C342,'Maestro de Productos'!$G:$H,2,0)</f>
        <v>1x750</v>
      </c>
      <c r="I342" s="31"/>
      <c r="J342" s="10">
        <f t="shared" si="28"/>
        <v>1871.1</v>
      </c>
      <c r="K342" s="31">
        <f t="shared" si="29"/>
        <v>0.22238255571588905</v>
      </c>
      <c r="L342" s="32"/>
    </row>
    <row r="343" spans="1:12" ht="13" x14ac:dyDescent="0.3">
      <c r="A343" s="5" t="s">
        <v>435</v>
      </c>
      <c r="B343" s="5" t="s">
        <v>665</v>
      </c>
      <c r="C343" s="4" t="s">
        <v>455</v>
      </c>
      <c r="D343" s="8">
        <v>4900</v>
      </c>
      <c r="E343" s="9">
        <v>6290</v>
      </c>
      <c r="F343" s="29">
        <f t="shared" si="30"/>
        <v>0.28367346938775517</v>
      </c>
      <c r="G343" s="31">
        <f t="shared" si="26"/>
        <v>0.22098569157392689</v>
      </c>
      <c r="H343" s="31" t="str">
        <f>VLOOKUP(C343,'Maestro de Productos'!$G:$H,2,0)</f>
        <v>1x750</v>
      </c>
      <c r="I343" s="31"/>
      <c r="J343" s="10">
        <f t="shared" si="28"/>
        <v>6227.1</v>
      </c>
      <c r="K343" s="31">
        <f t="shared" si="29"/>
        <v>0.21311686017568376</v>
      </c>
      <c r="L343" s="32"/>
    </row>
    <row r="344" spans="1:12" ht="13" x14ac:dyDescent="0.3">
      <c r="A344" s="5" t="s">
        <v>461</v>
      </c>
      <c r="B344" s="5" t="s">
        <v>666</v>
      </c>
      <c r="C344" s="6" t="s">
        <v>463</v>
      </c>
      <c r="D344" s="8">
        <v>902.53</v>
      </c>
      <c r="E344" s="9">
        <v>1190</v>
      </c>
      <c r="F344" s="29">
        <f t="shared" si="30"/>
        <v>0.31851572800904138</v>
      </c>
      <c r="G344" s="31">
        <f t="shared" si="26"/>
        <v>0.24157142857142855</v>
      </c>
      <c r="H344" s="31" t="str">
        <f>VLOOKUP(C344,'Maestro de Productos'!$G:$H,2,0)</f>
        <v>1x750</v>
      </c>
      <c r="I344" s="31"/>
      <c r="J344" s="10">
        <f t="shared" si="28"/>
        <v>1178.0999999999999</v>
      </c>
      <c r="K344" s="31">
        <f t="shared" si="29"/>
        <v>0.23391053391053385</v>
      </c>
      <c r="L344" s="10"/>
    </row>
    <row r="345" spans="1:12" ht="13" x14ac:dyDescent="0.3">
      <c r="A345" s="5" t="s">
        <v>461</v>
      </c>
      <c r="B345" s="5" t="s">
        <v>665</v>
      </c>
      <c r="C345" s="6" t="s">
        <v>465</v>
      </c>
      <c r="D345" s="8">
        <v>1389.04</v>
      </c>
      <c r="E345" s="9">
        <v>1790</v>
      </c>
      <c r="F345" s="29">
        <f t="shared" si="30"/>
        <v>0.28865979381443307</v>
      </c>
      <c r="G345" s="31">
        <f t="shared" ref="G345:G411" si="31">IFERROR(1-D345/E345,0)</f>
        <v>0.22399999999999998</v>
      </c>
      <c r="H345" s="31" t="str">
        <f>VLOOKUP(C345,'Maestro de Productos'!$G:$H,2,0)</f>
        <v>1x750</v>
      </c>
      <c r="I345" s="31"/>
      <c r="J345" s="10">
        <f t="shared" si="28"/>
        <v>1772.1</v>
      </c>
      <c r="K345" s="31">
        <f t="shared" si="29"/>
        <v>0.21616161616161611</v>
      </c>
      <c r="L345" s="32"/>
    </row>
    <row r="346" spans="1:12" ht="13" x14ac:dyDescent="0.3">
      <c r="A346" s="5" t="s">
        <v>461</v>
      </c>
      <c r="B346" s="5" t="s">
        <v>665</v>
      </c>
      <c r="C346" s="6" t="s">
        <v>467</v>
      </c>
      <c r="D346" s="8">
        <v>1772</v>
      </c>
      <c r="E346" s="9">
        <v>2290</v>
      </c>
      <c r="F346" s="29">
        <f t="shared" si="30"/>
        <v>0.29232505643340856</v>
      </c>
      <c r="G346" s="31">
        <f t="shared" si="31"/>
        <v>0.22620087336244543</v>
      </c>
      <c r="H346" s="31" t="str">
        <f>VLOOKUP(C346,'Maestro de Productos'!$G:$H,2,0)</f>
        <v>1x750</v>
      </c>
      <c r="I346" s="31"/>
      <c r="J346" s="10">
        <f t="shared" si="28"/>
        <v>2267.1</v>
      </c>
      <c r="K346" s="31">
        <f t="shared" si="29"/>
        <v>0.21838472056812663</v>
      </c>
      <c r="L346" s="32"/>
    </row>
    <row r="347" spans="1:12" ht="13" x14ac:dyDescent="0.3">
      <c r="A347" s="5" t="s">
        <v>461</v>
      </c>
      <c r="B347" s="5" t="s">
        <v>665</v>
      </c>
      <c r="C347" s="4" t="s">
        <v>468</v>
      </c>
      <c r="D347" s="8">
        <v>2840</v>
      </c>
      <c r="E347" s="9">
        <v>3690</v>
      </c>
      <c r="F347" s="29">
        <f t="shared" si="30"/>
        <v>0.29929577464788726</v>
      </c>
      <c r="G347" s="31">
        <f t="shared" si="31"/>
        <v>0.23035230352303526</v>
      </c>
      <c r="H347" s="31" t="str">
        <f>VLOOKUP(C347,'Maestro de Productos'!$G:$H,2,0)</f>
        <v>1x750</v>
      </c>
      <c r="I347" s="31"/>
      <c r="J347" s="10">
        <f t="shared" si="28"/>
        <v>3653.1</v>
      </c>
      <c r="K347" s="31">
        <f t="shared" si="29"/>
        <v>0.22257808436670223</v>
      </c>
      <c r="L347" s="32"/>
    </row>
    <row r="348" spans="1:12" ht="13" x14ac:dyDescent="0.3">
      <c r="A348" s="5" t="s">
        <v>461</v>
      </c>
      <c r="B348" s="5" t="s">
        <v>665</v>
      </c>
      <c r="C348" s="6" t="s">
        <v>469</v>
      </c>
      <c r="D348" s="8">
        <v>2039.95</v>
      </c>
      <c r="E348" s="9">
        <v>2690</v>
      </c>
      <c r="F348" s="29">
        <f t="shared" si="30"/>
        <v>0.31865977107282029</v>
      </c>
      <c r="G348" s="31">
        <f t="shared" si="31"/>
        <v>0.2416542750929368</v>
      </c>
      <c r="H348" s="31" t="str">
        <f>VLOOKUP(C348,'Maestro de Productos'!$G:$H,2,0)</f>
        <v>1x750</v>
      </c>
      <c r="I348" s="31"/>
      <c r="J348" s="10">
        <f t="shared" si="28"/>
        <v>2663.1</v>
      </c>
      <c r="K348" s="31">
        <f t="shared" si="29"/>
        <v>0.23399421726559266</v>
      </c>
      <c r="L348" s="32"/>
    </row>
    <row r="349" spans="1:12" ht="13" x14ac:dyDescent="0.3">
      <c r="A349" s="5" t="s">
        <v>461</v>
      </c>
      <c r="B349" s="5" t="s">
        <v>665</v>
      </c>
      <c r="C349" s="4" t="s">
        <v>471</v>
      </c>
      <c r="D349" s="8">
        <v>2644.38</v>
      </c>
      <c r="E349" s="9">
        <v>3490</v>
      </c>
      <c r="F349" s="29">
        <f t="shared" si="30"/>
        <v>0.31978006186705388</v>
      </c>
      <c r="G349" s="31">
        <f t="shared" si="31"/>
        <v>0.24229799426934095</v>
      </c>
      <c r="H349" s="31" t="str">
        <f>VLOOKUP(C349,'Maestro de Productos'!$G:$H,2,0)</f>
        <v>1x750</v>
      </c>
      <c r="I349" s="31"/>
      <c r="J349" s="10">
        <f t="shared" si="28"/>
        <v>3455.1</v>
      </c>
      <c r="K349" s="31">
        <f t="shared" si="29"/>
        <v>0.2346444386558999</v>
      </c>
      <c r="L349" s="32"/>
    </row>
    <row r="350" spans="1:12" ht="13" x14ac:dyDescent="0.3">
      <c r="A350" s="5" t="s">
        <v>461</v>
      </c>
      <c r="B350" s="5" t="s">
        <v>665</v>
      </c>
      <c r="C350" s="6" t="s">
        <v>473</v>
      </c>
      <c r="D350" s="8">
        <v>2795.483999999999</v>
      </c>
      <c r="E350" s="9">
        <v>4090</v>
      </c>
      <c r="F350" s="29">
        <f t="shared" si="30"/>
        <v>0.46307401509005297</v>
      </c>
      <c r="G350" s="31">
        <f t="shared" si="31"/>
        <v>0.31650757946210295</v>
      </c>
      <c r="H350" s="31" t="str">
        <f>VLOOKUP(C350,'Maestro de Productos'!$G:$H,2,0)</f>
        <v>1x750</v>
      </c>
      <c r="I350" s="31"/>
      <c r="J350" s="10">
        <f t="shared" si="28"/>
        <v>4049.1</v>
      </c>
      <c r="K350" s="31">
        <f t="shared" si="29"/>
        <v>0.30960361561828575</v>
      </c>
      <c r="L350" s="32"/>
    </row>
    <row r="351" spans="1:12" ht="13" x14ac:dyDescent="0.3">
      <c r="A351" s="5" t="s">
        <v>461</v>
      </c>
      <c r="B351" s="5" t="s">
        <v>665</v>
      </c>
      <c r="C351" s="6" t="s">
        <v>475</v>
      </c>
      <c r="D351" s="8">
        <v>3250</v>
      </c>
      <c r="E351" s="9">
        <v>4290</v>
      </c>
      <c r="F351" s="29">
        <f t="shared" si="30"/>
        <v>0.32000000000000006</v>
      </c>
      <c r="G351" s="31">
        <f t="shared" si="31"/>
        <v>0.24242424242424243</v>
      </c>
      <c r="H351" s="31" t="str">
        <f>VLOOKUP(C351,'Maestro de Productos'!$G:$H,2,0)</f>
        <v>1x750</v>
      </c>
      <c r="I351" s="31"/>
      <c r="J351" s="10">
        <f t="shared" si="28"/>
        <v>4247.1000000000004</v>
      </c>
      <c r="K351" s="31">
        <f t="shared" si="29"/>
        <v>0.23477196204468942</v>
      </c>
      <c r="L351" s="32"/>
    </row>
    <row r="352" spans="1:12" ht="13" x14ac:dyDescent="0.3">
      <c r="A352" s="5" t="s">
        <v>461</v>
      </c>
      <c r="B352" s="5" t="s">
        <v>665</v>
      </c>
      <c r="C352" s="4" t="s">
        <v>476</v>
      </c>
      <c r="D352" s="8">
        <v>3250</v>
      </c>
      <c r="E352" s="9">
        <v>4290</v>
      </c>
      <c r="F352" s="29">
        <f t="shared" si="30"/>
        <v>0.32000000000000006</v>
      </c>
      <c r="G352" s="31">
        <f t="shared" si="31"/>
        <v>0.24242424242424243</v>
      </c>
      <c r="H352" s="31" t="str">
        <f>VLOOKUP(C352,'Maestro de Productos'!$G:$H,2,0)</f>
        <v>1x750</v>
      </c>
      <c r="I352" s="31"/>
      <c r="J352" s="10">
        <f t="shared" si="28"/>
        <v>4247.1000000000004</v>
      </c>
      <c r="K352" s="31">
        <f t="shared" si="29"/>
        <v>0.23477196204468942</v>
      </c>
      <c r="L352" s="32"/>
    </row>
    <row r="353" spans="1:12" ht="13" x14ac:dyDescent="0.3">
      <c r="A353" s="5" t="s">
        <v>461</v>
      </c>
      <c r="B353" s="5" t="s">
        <v>665</v>
      </c>
      <c r="C353" s="6" t="s">
        <v>477</v>
      </c>
      <c r="D353" s="8">
        <v>3816.9079999999999</v>
      </c>
      <c r="E353" s="9">
        <v>4890</v>
      </c>
      <c r="F353" s="29">
        <f t="shared" si="30"/>
        <v>0.28114169898776709</v>
      </c>
      <c r="G353" s="31">
        <f t="shared" si="31"/>
        <v>0.21944621676891618</v>
      </c>
      <c r="H353" s="31" t="str">
        <f>VLOOKUP(C353,'Maestro de Productos'!$G:$H,2,0)</f>
        <v>1x750</v>
      </c>
      <c r="I353" s="31"/>
      <c r="J353" s="10">
        <f t="shared" ref="J353:J384" si="32">E353*0.99</f>
        <v>4841.1000000000004</v>
      </c>
      <c r="K353" s="31">
        <f t="shared" si="29"/>
        <v>0.21156183512011739</v>
      </c>
      <c r="L353" s="32"/>
    </row>
    <row r="354" spans="1:12" ht="13" x14ac:dyDescent="0.3">
      <c r="A354" s="5" t="s">
        <v>461</v>
      </c>
      <c r="B354" s="5" t="s">
        <v>665</v>
      </c>
      <c r="C354" s="4" t="s">
        <v>479</v>
      </c>
      <c r="D354" s="8">
        <v>1469.05</v>
      </c>
      <c r="E354" s="9">
        <v>1890</v>
      </c>
      <c r="F354" s="29">
        <f t="shared" si="30"/>
        <v>0.28654572683026447</v>
      </c>
      <c r="G354" s="31">
        <f t="shared" si="31"/>
        <v>0.22272486772486777</v>
      </c>
      <c r="H354" s="31" t="str">
        <f>VLOOKUP(C354,'Maestro de Productos'!$G:$H,2,0)</f>
        <v>1x750</v>
      </c>
      <c r="I354" s="31"/>
      <c r="J354" s="10">
        <f t="shared" si="32"/>
        <v>1871.1</v>
      </c>
      <c r="K354" s="31">
        <f t="shared" si="29"/>
        <v>0.21487360376249265</v>
      </c>
      <c r="L354" s="32"/>
    </row>
    <row r="355" spans="1:12" ht="13" x14ac:dyDescent="0.3">
      <c r="A355" s="5" t="s">
        <v>461</v>
      </c>
      <c r="B355" s="5" t="s">
        <v>665</v>
      </c>
      <c r="C355" s="4" t="s">
        <v>480</v>
      </c>
      <c r="D355" s="8">
        <v>1746.8689999999999</v>
      </c>
      <c r="E355" s="9">
        <v>2250</v>
      </c>
      <c r="F355" s="29">
        <f t="shared" si="30"/>
        <v>0.28801873523429644</v>
      </c>
      <c r="G355" s="31">
        <f t="shared" si="31"/>
        <v>0.2236137777777778</v>
      </c>
      <c r="H355" s="31" t="str">
        <f>VLOOKUP(C355,'Maestro de Productos'!$G:$H,2,0)</f>
        <v>1x1000</v>
      </c>
      <c r="I355" s="31"/>
      <c r="J355" s="10">
        <f t="shared" si="32"/>
        <v>2227.5</v>
      </c>
      <c r="K355" s="31">
        <f t="shared" si="29"/>
        <v>0.2157714927048261</v>
      </c>
      <c r="L355" s="32"/>
    </row>
    <row r="356" spans="1:12" ht="13" x14ac:dyDescent="0.3">
      <c r="A356" s="5" t="s">
        <v>461</v>
      </c>
      <c r="B356" s="5" t="s">
        <v>665</v>
      </c>
      <c r="C356" s="4" t="s">
        <v>481</v>
      </c>
      <c r="D356" s="8">
        <f>D354*1.2</f>
        <v>1762.86</v>
      </c>
      <c r="E356" s="9">
        <v>2250</v>
      </c>
      <c r="F356" s="29">
        <f t="shared" si="30"/>
        <v>0.27633504645859586</v>
      </c>
      <c r="G356" s="31">
        <f t="shared" si="31"/>
        <v>0.21650666666666674</v>
      </c>
      <c r="H356" s="31" t="str">
        <f>VLOOKUP(C356,'Maestro de Productos'!$G:$H,2,0)</f>
        <v>1x700</v>
      </c>
      <c r="I356" s="31"/>
      <c r="J356" s="10">
        <f t="shared" si="32"/>
        <v>2227.5</v>
      </c>
      <c r="K356" s="31">
        <f t="shared" si="29"/>
        <v>0.20859259259259266</v>
      </c>
      <c r="L356" s="32"/>
    </row>
    <row r="357" spans="1:12" ht="13" x14ac:dyDescent="0.3">
      <c r="A357" s="5" t="s">
        <v>461</v>
      </c>
      <c r="B357" s="5" t="s">
        <v>666</v>
      </c>
      <c r="C357" s="4" t="s">
        <v>482</v>
      </c>
      <c r="D357" s="8">
        <v>0</v>
      </c>
      <c r="E357" s="9">
        <v>0</v>
      </c>
      <c r="F357" s="29" t="e">
        <f t="shared" si="30"/>
        <v>#DIV/0!</v>
      </c>
      <c r="G357" s="31">
        <f t="shared" si="31"/>
        <v>0</v>
      </c>
      <c r="H357" s="31" t="str">
        <f>VLOOKUP(C357,'Maestro de Productos'!$G:$H,2,0)</f>
        <v>1x750</v>
      </c>
      <c r="I357" s="31"/>
      <c r="J357" s="10">
        <f t="shared" si="32"/>
        <v>0</v>
      </c>
      <c r="K357" s="31">
        <f t="shared" si="29"/>
        <v>0</v>
      </c>
      <c r="L357" s="10"/>
    </row>
    <row r="358" spans="1:12" ht="13" x14ac:dyDescent="0.3">
      <c r="A358" s="5" t="s">
        <v>461</v>
      </c>
      <c r="B358" s="5" t="s">
        <v>665</v>
      </c>
      <c r="C358" s="4" t="s">
        <v>483</v>
      </c>
      <c r="D358" s="8">
        <v>2518.4499999999998</v>
      </c>
      <c r="E358" s="9">
        <v>3250</v>
      </c>
      <c r="F358" s="29">
        <f t="shared" si="30"/>
        <v>0.29047628501657785</v>
      </c>
      <c r="G358" s="31">
        <f t="shared" si="31"/>
        <v>0.2250923076923077</v>
      </c>
      <c r="H358" s="31" t="str">
        <f>VLOOKUP(C358,'Maestro de Productos'!$G:$H,2,0)</f>
        <v>1x750</v>
      </c>
      <c r="I358" s="31"/>
      <c r="J358" s="10">
        <f t="shared" si="32"/>
        <v>3217.5</v>
      </c>
      <c r="K358" s="31">
        <f t="shared" si="29"/>
        <v>0.21726495726495731</v>
      </c>
      <c r="L358" s="32"/>
    </row>
    <row r="359" spans="1:12" ht="13" x14ac:dyDescent="0.3">
      <c r="A359" s="5" t="s">
        <v>461</v>
      </c>
      <c r="B359" s="5" t="s">
        <v>665</v>
      </c>
      <c r="C359" s="4" t="s">
        <v>484</v>
      </c>
      <c r="D359" s="8">
        <v>2996.96</v>
      </c>
      <c r="E359" s="9">
        <v>3890</v>
      </c>
      <c r="F359" s="29">
        <f t="shared" si="30"/>
        <v>0.2979819550477818</v>
      </c>
      <c r="G359" s="31">
        <f t="shared" si="31"/>
        <v>0.22957326478149098</v>
      </c>
      <c r="H359" s="31" t="str">
        <f>VLOOKUP(C359,'Maestro de Productos'!$G:$H,2,0)</f>
        <v>1x1000</v>
      </c>
      <c r="I359" s="31"/>
      <c r="J359" s="10">
        <f t="shared" si="32"/>
        <v>3851.1</v>
      </c>
      <c r="K359" s="31">
        <f t="shared" si="29"/>
        <v>0.22179117654696057</v>
      </c>
      <c r="L359" s="32"/>
    </row>
    <row r="360" spans="1:12" ht="13" x14ac:dyDescent="0.3">
      <c r="A360" s="5" t="s">
        <v>461</v>
      </c>
      <c r="B360" s="5" t="s">
        <v>665</v>
      </c>
      <c r="C360" s="4" t="s">
        <v>485</v>
      </c>
      <c r="D360" s="8">
        <f>D358*1.2</f>
        <v>3022.14</v>
      </c>
      <c r="E360" s="9">
        <v>3890</v>
      </c>
      <c r="F360" s="29">
        <f t="shared" si="30"/>
        <v>0.28716737146525317</v>
      </c>
      <c r="G360" s="31">
        <f t="shared" si="31"/>
        <v>0.22310025706940873</v>
      </c>
      <c r="H360" s="31" t="str">
        <f>VLOOKUP(C360,'Maestro de Productos'!$G:$H,2,0)</f>
        <v>1x700</v>
      </c>
      <c r="I360" s="31"/>
      <c r="J360" s="10">
        <f t="shared" si="32"/>
        <v>3851.1</v>
      </c>
      <c r="K360" s="31">
        <f t="shared" si="29"/>
        <v>0.21525278491859468</v>
      </c>
      <c r="L360" s="32"/>
    </row>
    <row r="361" spans="1:12" ht="13" x14ac:dyDescent="0.3">
      <c r="A361" s="5" t="s">
        <v>461</v>
      </c>
      <c r="B361" s="5" t="s">
        <v>665</v>
      </c>
      <c r="C361" s="4" t="s">
        <v>486</v>
      </c>
      <c r="D361" s="8">
        <f>D358*1.25</f>
        <v>3148.0625</v>
      </c>
      <c r="E361" s="9">
        <v>4890</v>
      </c>
      <c r="F361" s="29">
        <f t="shared" si="30"/>
        <v>0.55333637753380049</v>
      </c>
      <c r="G361" s="31">
        <f t="shared" si="31"/>
        <v>0.35622443762781186</v>
      </c>
      <c r="H361" s="31" t="str">
        <f>VLOOKUP(C361,'Maestro de Productos'!$G:$H,2,0)</f>
        <v>1x750</v>
      </c>
      <c r="I361" s="31"/>
      <c r="J361" s="10">
        <f t="shared" si="32"/>
        <v>4841.1000000000004</v>
      </c>
      <c r="K361" s="31">
        <f t="shared" si="29"/>
        <v>0.34972165416950696</v>
      </c>
      <c r="L361" s="32"/>
    </row>
    <row r="362" spans="1:12" ht="13" x14ac:dyDescent="0.3">
      <c r="A362" s="5" t="s">
        <v>461</v>
      </c>
      <c r="B362" s="5" t="s">
        <v>665</v>
      </c>
      <c r="C362" s="4" t="s">
        <v>487</v>
      </c>
      <c r="D362" s="8">
        <f>D358*1.25</f>
        <v>3148.0625</v>
      </c>
      <c r="E362" s="9">
        <v>4390</v>
      </c>
      <c r="F362" s="29">
        <f t="shared" si="30"/>
        <v>0.39450852707022177</v>
      </c>
      <c r="G362" s="31">
        <f t="shared" si="31"/>
        <v>0.28290148063781317</v>
      </c>
      <c r="H362" s="31" t="str">
        <f>VLOOKUP(C362,'Maestro de Productos'!$G:$H,2,0)</f>
        <v>1x750</v>
      </c>
      <c r="I362" s="31"/>
      <c r="J362" s="10">
        <f t="shared" si="32"/>
        <v>4346.1000000000004</v>
      </c>
      <c r="K362" s="31">
        <f t="shared" si="29"/>
        <v>0.27565806125031644</v>
      </c>
      <c r="L362" s="32"/>
    </row>
    <row r="363" spans="1:12" ht="13" x14ac:dyDescent="0.3">
      <c r="A363" s="5" t="s">
        <v>461</v>
      </c>
      <c r="B363" s="5" t="s">
        <v>665</v>
      </c>
      <c r="C363" s="6" t="s">
        <v>488</v>
      </c>
      <c r="D363" s="8">
        <v>2896.22</v>
      </c>
      <c r="E363" s="9">
        <v>3790</v>
      </c>
      <c r="F363" s="29">
        <f t="shared" si="30"/>
        <v>0.30860224706686656</v>
      </c>
      <c r="G363" s="31">
        <f t="shared" si="31"/>
        <v>0.23582585751978902</v>
      </c>
      <c r="H363" s="31" t="str">
        <f>VLOOKUP(C363,'Maestro de Productos'!$G:$H,2,0)</f>
        <v>1x750</v>
      </c>
      <c r="I363" s="31"/>
      <c r="J363" s="10">
        <f t="shared" si="32"/>
        <v>3752.1</v>
      </c>
      <c r="K363" s="31">
        <f t="shared" si="29"/>
        <v>0.22810692678766564</v>
      </c>
      <c r="L363" s="32"/>
    </row>
    <row r="364" spans="1:12" ht="13" x14ac:dyDescent="0.3">
      <c r="A364" s="5" t="s">
        <v>461</v>
      </c>
      <c r="B364" s="5" t="s">
        <v>666</v>
      </c>
      <c r="C364" s="4" t="s">
        <v>489</v>
      </c>
      <c r="D364" s="8">
        <f>D363*1.25</f>
        <v>3620.2749999999996</v>
      </c>
      <c r="E364" s="9">
        <v>4990</v>
      </c>
      <c r="F364" s="29">
        <f t="shared" si="30"/>
        <v>0.37834832989206646</v>
      </c>
      <c r="G364" s="31">
        <f t="shared" si="31"/>
        <v>0.27449398797595193</v>
      </c>
      <c r="H364" s="31" t="str">
        <f>VLOOKUP(C364,'Maestro de Productos'!$G:$H,2,0)</f>
        <v>1x750</v>
      </c>
      <c r="I364" s="31"/>
      <c r="J364" s="10">
        <f t="shared" si="32"/>
        <v>4940.1000000000004</v>
      </c>
      <c r="K364" s="31">
        <f t="shared" si="29"/>
        <v>0.26716564442015356</v>
      </c>
      <c r="L364" s="32"/>
    </row>
    <row r="365" spans="1:12" ht="13" x14ac:dyDescent="0.3">
      <c r="A365" s="5" t="s">
        <v>461</v>
      </c>
      <c r="B365" s="5" t="s">
        <v>665</v>
      </c>
      <c r="C365" s="6" t="s">
        <v>490</v>
      </c>
      <c r="D365" s="8">
        <v>5127.38</v>
      </c>
      <c r="E365" s="9">
        <v>6690</v>
      </c>
      <c r="F365" s="29">
        <f t="shared" si="30"/>
        <v>0.30475993587368211</v>
      </c>
      <c r="G365" s="31">
        <f t="shared" si="31"/>
        <v>0.233575485799701</v>
      </c>
      <c r="H365" s="31" t="str">
        <f>VLOOKUP(C365,'Maestro de Productos'!$G:$H,2,0)</f>
        <v>1x750</v>
      </c>
      <c r="I365" s="31"/>
      <c r="J365" s="10">
        <f t="shared" si="32"/>
        <v>6623.1</v>
      </c>
      <c r="K365" s="31">
        <f t="shared" si="29"/>
        <v>0.2258338240401021</v>
      </c>
      <c r="L365" s="32"/>
    </row>
    <row r="366" spans="1:12" ht="13" x14ac:dyDescent="0.3">
      <c r="A366" s="5" t="s">
        <v>461</v>
      </c>
      <c r="B366" s="5" t="s">
        <v>665</v>
      </c>
      <c r="C366" s="4" t="s">
        <v>491</v>
      </c>
      <c r="D366" s="8">
        <f>D365*1.2</f>
        <v>6152.8559999999998</v>
      </c>
      <c r="E366" s="9">
        <v>7990</v>
      </c>
      <c r="F366" s="29">
        <f t="shared" si="30"/>
        <v>0.29858394215629303</v>
      </c>
      <c r="G366" s="31">
        <f t="shared" si="31"/>
        <v>0.22993041301627037</v>
      </c>
      <c r="H366" s="31" t="str">
        <f>VLOOKUP(C366,'Maestro de Productos'!$G:$H,2,0)</f>
        <v>1x700</v>
      </c>
      <c r="I366" s="31"/>
      <c r="J366" s="10">
        <f t="shared" si="32"/>
        <v>7910.1</v>
      </c>
      <c r="K366" s="31">
        <f t="shared" si="29"/>
        <v>0.22215193233966712</v>
      </c>
      <c r="L366" s="32"/>
    </row>
    <row r="367" spans="1:12" ht="13" x14ac:dyDescent="0.3">
      <c r="A367" s="5" t="s">
        <v>461</v>
      </c>
      <c r="B367" s="5" t="s">
        <v>666</v>
      </c>
      <c r="C367" s="4" t="s">
        <v>492</v>
      </c>
      <c r="D367" s="8">
        <f>D365*1.2</f>
        <v>6152.8559999999998</v>
      </c>
      <c r="E367" s="9">
        <v>0</v>
      </c>
      <c r="F367" s="29">
        <f t="shared" si="30"/>
        <v>-1</v>
      </c>
      <c r="G367" s="31">
        <f t="shared" si="31"/>
        <v>0</v>
      </c>
      <c r="H367" s="31" t="str">
        <f>VLOOKUP(C367,'Maestro de Productos'!$G:$H,2,0)</f>
        <v>1x700</v>
      </c>
      <c r="I367" s="31"/>
      <c r="J367" s="10">
        <f t="shared" si="32"/>
        <v>0</v>
      </c>
      <c r="K367" s="31">
        <f t="shared" si="29"/>
        <v>0</v>
      </c>
      <c r="L367" s="10"/>
    </row>
    <row r="368" spans="1:12" ht="13" x14ac:dyDescent="0.3">
      <c r="A368" s="5" t="s">
        <v>461</v>
      </c>
      <c r="B368" s="5" t="s">
        <v>666</v>
      </c>
      <c r="C368" s="4" t="s">
        <v>493</v>
      </c>
      <c r="D368" s="8">
        <f>D365*1.25</f>
        <v>6409.2250000000004</v>
      </c>
      <c r="E368" s="9">
        <v>0</v>
      </c>
      <c r="F368" s="29">
        <f t="shared" si="30"/>
        <v>-1</v>
      </c>
      <c r="G368" s="31">
        <f t="shared" si="31"/>
        <v>0</v>
      </c>
      <c r="H368" s="31" t="str">
        <f>VLOOKUP(C368,'Maestro de Productos'!$G:$H,2,0)</f>
        <v>1x750</v>
      </c>
      <c r="I368" s="31"/>
      <c r="J368" s="10">
        <f t="shared" si="32"/>
        <v>0</v>
      </c>
      <c r="K368" s="31">
        <f t="shared" si="29"/>
        <v>0</v>
      </c>
      <c r="L368" s="32"/>
    </row>
    <row r="369" spans="1:12" ht="13" x14ac:dyDescent="0.3">
      <c r="A369" s="5" t="s">
        <v>461</v>
      </c>
      <c r="B369" s="5" t="s">
        <v>665</v>
      </c>
      <c r="C369" s="6" t="s">
        <v>494</v>
      </c>
      <c r="D369" s="8">
        <v>5282.81</v>
      </c>
      <c r="E369" s="9">
        <v>6990</v>
      </c>
      <c r="F369" s="29">
        <f t="shared" si="30"/>
        <v>0.3231594549113066</v>
      </c>
      <c r="G369" s="31">
        <f t="shared" si="31"/>
        <v>0.24423319027181678</v>
      </c>
      <c r="H369" s="31" t="str">
        <f>VLOOKUP(C369,'Maestro de Productos'!$G:$H,2,0)</f>
        <v>1x750</v>
      </c>
      <c r="I369" s="31"/>
      <c r="J369" s="10">
        <f t="shared" si="32"/>
        <v>6920.1</v>
      </c>
      <c r="K369" s="31">
        <f t="shared" si="29"/>
        <v>0.23659918209274433</v>
      </c>
      <c r="L369" s="32"/>
    </row>
    <row r="370" spans="1:12" ht="13" x14ac:dyDescent="0.3">
      <c r="A370" s="5" t="s">
        <v>461</v>
      </c>
      <c r="B370" s="5" t="s">
        <v>665</v>
      </c>
      <c r="C370" s="4" t="s">
        <v>495</v>
      </c>
      <c r="D370" s="8">
        <v>6526.1870000000008</v>
      </c>
      <c r="E370" s="9">
        <v>8490</v>
      </c>
      <c r="F370" s="29">
        <f t="shared" si="30"/>
        <v>0.30091276881891349</v>
      </c>
      <c r="G370" s="31">
        <f t="shared" si="31"/>
        <v>0.23130895170789156</v>
      </c>
      <c r="H370" s="31" t="str">
        <f>VLOOKUP(C370,'Maestro de Productos'!$G:$H,2,0)</f>
        <v>1x750</v>
      </c>
      <c r="I370" s="31"/>
      <c r="J370" s="10">
        <f t="shared" si="32"/>
        <v>8405.1</v>
      </c>
      <c r="K370" s="31">
        <f t="shared" si="29"/>
        <v>0.22354439566453699</v>
      </c>
      <c r="L370" s="32"/>
    </row>
    <row r="371" spans="1:12" ht="13" x14ac:dyDescent="0.3">
      <c r="A371" s="5" t="s">
        <v>461</v>
      </c>
      <c r="B371" s="5" t="s">
        <v>666</v>
      </c>
      <c r="C371" s="4" t="s">
        <v>496</v>
      </c>
      <c r="D371" s="8">
        <f>D370*1.25</f>
        <v>8157.7337500000012</v>
      </c>
      <c r="E371" s="9">
        <v>0</v>
      </c>
      <c r="F371" s="29">
        <f t="shared" si="30"/>
        <v>-1</v>
      </c>
      <c r="G371" s="31">
        <f t="shared" si="31"/>
        <v>0</v>
      </c>
      <c r="H371" s="31" t="str">
        <f>VLOOKUP(C371,'Maestro de Productos'!$G:$H,2,0)</f>
        <v>1x750</v>
      </c>
      <c r="I371" s="31"/>
      <c r="J371" s="10">
        <f t="shared" si="32"/>
        <v>0</v>
      </c>
      <c r="K371" s="31">
        <f t="shared" si="29"/>
        <v>0</v>
      </c>
      <c r="L371" s="32"/>
    </row>
    <row r="372" spans="1:12" ht="13" x14ac:dyDescent="0.3">
      <c r="A372" s="5" t="s">
        <v>461</v>
      </c>
      <c r="B372" s="5" t="s">
        <v>665</v>
      </c>
      <c r="C372" s="4" t="s">
        <v>497</v>
      </c>
      <c r="D372" s="8">
        <v>8391.2570000000014</v>
      </c>
      <c r="E372" s="9">
        <v>10990</v>
      </c>
      <c r="F372" s="29">
        <f t="shared" si="30"/>
        <v>0.30969650911657198</v>
      </c>
      <c r="G372" s="31">
        <f t="shared" si="31"/>
        <v>0.23646433121019095</v>
      </c>
      <c r="H372" s="31" t="str">
        <f>VLOOKUP(C372,'Maestro de Productos'!$G:$H,2,0)</f>
        <v>1x750</v>
      </c>
      <c r="I372" s="31"/>
      <c r="J372" s="10">
        <f t="shared" si="32"/>
        <v>10880.1</v>
      </c>
      <c r="K372" s="31">
        <f t="shared" si="29"/>
        <v>0.22875184970726359</v>
      </c>
      <c r="L372" s="32"/>
    </row>
    <row r="373" spans="1:12" ht="13" x14ac:dyDescent="0.3">
      <c r="A373" s="5" t="s">
        <v>461</v>
      </c>
      <c r="B373" s="5" t="s">
        <v>665</v>
      </c>
      <c r="C373" s="4" t="s">
        <v>498</v>
      </c>
      <c r="D373" s="8">
        <f>D372*1.25</f>
        <v>10489.071250000001</v>
      </c>
      <c r="E373" s="9">
        <v>13990</v>
      </c>
      <c r="F373" s="29">
        <f t="shared" si="30"/>
        <v>0.33376918380643072</v>
      </c>
      <c r="G373" s="31">
        <f t="shared" si="31"/>
        <v>0.25024508577555393</v>
      </c>
      <c r="H373" s="31" t="str">
        <f>VLOOKUP(C373,'Maestro de Productos'!$G:$H,2,0)</f>
        <v>1x750</v>
      </c>
      <c r="I373" s="31"/>
      <c r="J373" s="10">
        <f t="shared" si="32"/>
        <v>13850.1</v>
      </c>
      <c r="K373" s="31">
        <f t="shared" si="29"/>
        <v>0.2426718038136908</v>
      </c>
      <c r="L373" s="32"/>
    </row>
    <row r="374" spans="1:12" ht="13" x14ac:dyDescent="0.3">
      <c r="A374" s="5" t="s">
        <v>461</v>
      </c>
      <c r="B374" s="5" t="s">
        <v>665</v>
      </c>
      <c r="C374" s="4" t="s">
        <v>499</v>
      </c>
      <c r="D374" s="8">
        <v>12824.984000000002</v>
      </c>
      <c r="E374" s="9">
        <v>17490</v>
      </c>
      <c r="F374" s="29">
        <f t="shared" si="30"/>
        <v>0.36374439141600456</v>
      </c>
      <c r="G374" s="31">
        <f t="shared" si="31"/>
        <v>0.26672475700400211</v>
      </c>
      <c r="H374" s="31" t="str">
        <f>VLOOKUP(C374,'Maestro de Productos'!$G:$H,2,0)</f>
        <v>1x750</v>
      </c>
      <c r="I374" s="31"/>
      <c r="J374" s="10">
        <f t="shared" si="32"/>
        <v>17315.099999999999</v>
      </c>
      <c r="K374" s="31">
        <f t="shared" si="29"/>
        <v>0.25931793636767886</v>
      </c>
      <c r="L374" s="32"/>
    </row>
    <row r="375" spans="1:12" ht="13" x14ac:dyDescent="0.3">
      <c r="A375" s="5" t="s">
        <v>461</v>
      </c>
      <c r="B375" s="5" t="s">
        <v>665</v>
      </c>
      <c r="C375" s="4" t="s">
        <v>500</v>
      </c>
      <c r="D375" s="8">
        <v>17873.567999999999</v>
      </c>
      <c r="E375" s="9">
        <v>22990</v>
      </c>
      <c r="F375" s="29">
        <f t="shared" si="30"/>
        <v>0.28625689062195092</v>
      </c>
      <c r="G375" s="31">
        <f t="shared" si="31"/>
        <v>0.22255032622879511</v>
      </c>
      <c r="H375" s="31" t="str">
        <f>VLOOKUP(C375,'Maestro de Productos'!$G:$H,2,0)</f>
        <v>1x750</v>
      </c>
      <c r="I375" s="31"/>
      <c r="J375" s="10">
        <f t="shared" si="32"/>
        <v>22760.1</v>
      </c>
      <c r="K375" s="31">
        <f t="shared" si="29"/>
        <v>0.21469729922100511</v>
      </c>
      <c r="L375" s="32"/>
    </row>
    <row r="376" spans="1:12" ht="13" x14ac:dyDescent="0.3">
      <c r="A376" s="5" t="s">
        <v>461</v>
      </c>
      <c r="B376" s="5" t="s">
        <v>665</v>
      </c>
      <c r="C376" s="4" t="s">
        <v>501</v>
      </c>
      <c r="D376" s="8">
        <f>D375*1.3</f>
        <v>23235.6384</v>
      </c>
      <c r="E376" s="9">
        <v>29990</v>
      </c>
      <c r="F376" s="29">
        <f t="shared" si="30"/>
        <v>0.29068973633192718</v>
      </c>
      <c r="G376" s="31">
        <f t="shared" si="31"/>
        <v>0.22522046015338448</v>
      </c>
      <c r="H376" s="31" t="str">
        <f>VLOOKUP(C376,'Maestro de Productos'!$G:$H,2,0)</f>
        <v>1x750</v>
      </c>
      <c r="I376" s="31"/>
      <c r="J376" s="10">
        <f t="shared" si="32"/>
        <v>29690.1</v>
      </c>
      <c r="K376" s="31">
        <f t="shared" si="29"/>
        <v>0.21739440419533784</v>
      </c>
      <c r="L376" s="32"/>
    </row>
    <row r="377" spans="1:12" ht="13" x14ac:dyDescent="0.3">
      <c r="A377" s="5" t="s">
        <v>461</v>
      </c>
      <c r="B377" s="5" t="s">
        <v>666</v>
      </c>
      <c r="C377" s="26" t="s">
        <v>705</v>
      </c>
      <c r="D377" s="8">
        <f>D375*1.3</f>
        <v>23235.6384</v>
      </c>
      <c r="E377" s="9">
        <v>29990</v>
      </c>
      <c r="F377" s="29">
        <f t="shared" si="30"/>
        <v>0.29068973633192718</v>
      </c>
      <c r="G377" s="31">
        <f t="shared" si="31"/>
        <v>0.22522046015338448</v>
      </c>
      <c r="H377" s="31" t="e">
        <f>VLOOKUP(C377,'Maestro de Productos'!$G:$H,2,0)</f>
        <v>#N/A</v>
      </c>
      <c r="I377" s="31"/>
      <c r="J377" s="10">
        <f t="shared" si="32"/>
        <v>29690.1</v>
      </c>
      <c r="K377" s="31">
        <f t="shared" si="29"/>
        <v>0.21739440419533784</v>
      </c>
      <c r="L377" s="10"/>
    </row>
    <row r="378" spans="1:12" ht="13" x14ac:dyDescent="0.3">
      <c r="A378" s="5" t="s">
        <v>461</v>
      </c>
      <c r="B378" s="5" t="s">
        <v>666</v>
      </c>
      <c r="C378" s="4" t="s">
        <v>502</v>
      </c>
      <c r="D378" s="8">
        <f>D375*1.3</f>
        <v>23235.6384</v>
      </c>
      <c r="E378" s="9">
        <v>30990</v>
      </c>
      <c r="F378" s="29">
        <f t="shared" si="30"/>
        <v>0.33372707332198792</v>
      </c>
      <c r="G378" s="31">
        <f t="shared" si="31"/>
        <v>0.25022141335914816</v>
      </c>
      <c r="H378" s="31" t="str">
        <f>VLOOKUP(C378,'Maestro de Productos'!$G:$H,2,0)</f>
        <v>1x750</v>
      </c>
      <c r="I378" s="31"/>
      <c r="J378" s="10">
        <f t="shared" si="32"/>
        <v>30680.1</v>
      </c>
      <c r="K378" s="31">
        <f t="shared" si="29"/>
        <v>0.24264789228196781</v>
      </c>
      <c r="L378" s="10"/>
    </row>
    <row r="379" spans="1:12" ht="13" x14ac:dyDescent="0.3">
      <c r="A379" s="5" t="s">
        <v>461</v>
      </c>
      <c r="B379" s="5" t="s">
        <v>665</v>
      </c>
      <c r="C379" s="4" t="s">
        <v>503</v>
      </c>
      <c r="D379" s="8">
        <f>D375*1.4</f>
        <v>25022.995199999998</v>
      </c>
      <c r="E379" s="9">
        <v>89900</v>
      </c>
      <c r="F379" s="29">
        <f t="shared" si="30"/>
        <v>2.5926954100203004</v>
      </c>
      <c r="G379" s="31">
        <f t="shared" si="31"/>
        <v>0.72165745050055619</v>
      </c>
      <c r="H379" s="31" t="str">
        <f>VLOOKUP(C379,'Maestro de Productos'!$G:$H,2,0)</f>
        <v>1x750</v>
      </c>
      <c r="I379" s="31"/>
      <c r="J379" s="10">
        <f t="shared" si="32"/>
        <v>89001</v>
      </c>
      <c r="K379" s="31">
        <f t="shared" si="29"/>
        <v>0.71884590959652139</v>
      </c>
      <c r="L379" s="32"/>
    </row>
    <row r="380" spans="1:12" ht="13" x14ac:dyDescent="0.3">
      <c r="A380" s="5" t="s">
        <v>461</v>
      </c>
      <c r="B380" s="5" t="s">
        <v>665</v>
      </c>
      <c r="C380" s="4" t="s">
        <v>505</v>
      </c>
      <c r="D380" s="8">
        <v>2163</v>
      </c>
      <c r="E380" s="9">
        <v>2790</v>
      </c>
      <c r="F380" s="29">
        <f t="shared" si="30"/>
        <v>0.28987517337031909</v>
      </c>
      <c r="G380" s="31">
        <f t="shared" si="31"/>
        <v>0.22473118279569892</v>
      </c>
      <c r="H380" s="31" t="str">
        <f>VLOOKUP(C380,'Maestro de Productos'!$G:$H,2,0)</f>
        <v>1x750</v>
      </c>
      <c r="I380" s="31"/>
      <c r="J380" s="10">
        <f t="shared" si="32"/>
        <v>2762.1</v>
      </c>
      <c r="K380" s="31">
        <f t="shared" si="29"/>
        <v>0.21690018464212013</v>
      </c>
      <c r="L380" s="32"/>
    </row>
    <row r="381" spans="1:12" ht="13" x14ac:dyDescent="0.3">
      <c r="A381" s="5" t="s">
        <v>461</v>
      </c>
      <c r="B381" s="5" t="s">
        <v>665</v>
      </c>
      <c r="C381" s="4" t="s">
        <v>506</v>
      </c>
      <c r="D381" s="8">
        <v>2766</v>
      </c>
      <c r="E381" s="9">
        <v>3590</v>
      </c>
      <c r="F381" s="29">
        <f t="shared" si="30"/>
        <v>0.29790310918293561</v>
      </c>
      <c r="G381" s="31">
        <f t="shared" si="31"/>
        <v>0.2295264623955432</v>
      </c>
      <c r="H381" s="31" t="str">
        <f>VLOOKUP(C381,'Maestro de Productos'!$G:$H,2,0)</f>
        <v>1x1000</v>
      </c>
      <c r="I381" s="31"/>
      <c r="J381" s="10">
        <f t="shared" si="32"/>
        <v>3554.1</v>
      </c>
      <c r="K381" s="31">
        <f t="shared" si="29"/>
        <v>0.22174390140963951</v>
      </c>
      <c r="L381" s="32"/>
    </row>
    <row r="382" spans="1:12" ht="13" x14ac:dyDescent="0.3">
      <c r="A382" s="5" t="s">
        <v>461</v>
      </c>
      <c r="B382" s="5" t="s">
        <v>666</v>
      </c>
      <c r="C382" s="4" t="s">
        <v>507</v>
      </c>
      <c r="D382" s="8">
        <v>3685</v>
      </c>
      <c r="E382" s="9">
        <v>0</v>
      </c>
      <c r="F382" s="29">
        <f t="shared" si="30"/>
        <v>-1</v>
      </c>
      <c r="G382" s="31">
        <f t="shared" si="31"/>
        <v>0</v>
      </c>
      <c r="H382" s="31" t="str">
        <f>VLOOKUP(C382,'Maestro de Productos'!$G:$H,2,0)</f>
        <v>1x750</v>
      </c>
      <c r="I382" s="31"/>
      <c r="J382" s="10">
        <f t="shared" si="32"/>
        <v>0</v>
      </c>
      <c r="K382" s="31">
        <f t="shared" si="29"/>
        <v>0</v>
      </c>
      <c r="L382" s="10"/>
    </row>
    <row r="383" spans="1:12" ht="13" x14ac:dyDescent="0.3">
      <c r="A383" s="5" t="s">
        <v>461</v>
      </c>
      <c r="B383" s="5" t="s">
        <v>665</v>
      </c>
      <c r="C383" s="4" t="s">
        <v>508</v>
      </c>
      <c r="D383" s="8">
        <v>2766</v>
      </c>
      <c r="E383" s="9">
        <v>3590</v>
      </c>
      <c r="F383" s="29">
        <f t="shared" si="30"/>
        <v>0.29790310918293561</v>
      </c>
      <c r="G383" s="31">
        <f t="shared" si="31"/>
        <v>0.2295264623955432</v>
      </c>
      <c r="H383" s="31" t="str">
        <f>VLOOKUP(C383,'Maestro de Productos'!$G:$H,2,0)</f>
        <v>1x750</v>
      </c>
      <c r="I383" s="31"/>
      <c r="J383" s="10">
        <f t="shared" si="32"/>
        <v>3554.1</v>
      </c>
      <c r="K383" s="31">
        <f t="shared" si="29"/>
        <v>0.22174390140963951</v>
      </c>
      <c r="L383" s="32"/>
    </row>
    <row r="384" spans="1:12" ht="13" x14ac:dyDescent="0.3">
      <c r="A384" s="5" t="s">
        <v>461</v>
      </c>
      <c r="B384" s="5" t="s">
        <v>665</v>
      </c>
      <c r="C384" s="4" t="s">
        <v>509</v>
      </c>
      <c r="D384" s="8">
        <v>4008</v>
      </c>
      <c r="E384" s="9">
        <v>5290</v>
      </c>
      <c r="F384" s="29">
        <f t="shared" si="30"/>
        <v>0.31986027944111783</v>
      </c>
      <c r="G384" s="31">
        <f t="shared" si="31"/>
        <v>0.24234404536862009</v>
      </c>
      <c r="H384" s="31" t="str">
        <f>VLOOKUP(C384,'Maestro de Productos'!$G:$H,2,0)</f>
        <v>1x750</v>
      </c>
      <c r="I384" s="31"/>
      <c r="J384" s="10">
        <f t="shared" si="32"/>
        <v>5237.1000000000004</v>
      </c>
      <c r="K384" s="31">
        <f t="shared" si="29"/>
        <v>0.23469095491779812</v>
      </c>
      <c r="L384" s="32"/>
    </row>
    <row r="385" spans="1:12" ht="13" x14ac:dyDescent="0.3">
      <c r="A385" s="5" t="s">
        <v>461</v>
      </c>
      <c r="B385" s="5" t="s">
        <v>665</v>
      </c>
      <c r="C385" s="4" t="s">
        <v>510</v>
      </c>
      <c r="D385" s="8">
        <v>6401</v>
      </c>
      <c r="E385" s="9">
        <v>8390</v>
      </c>
      <c r="F385" s="29">
        <f t="shared" si="30"/>
        <v>0.31073269801593506</v>
      </c>
      <c r="G385" s="31">
        <f t="shared" si="31"/>
        <v>0.23706793802145409</v>
      </c>
      <c r="H385" s="31" t="str">
        <f>VLOOKUP(C385,'Maestro de Productos'!$G:$H,2,0)</f>
        <v>1x750</v>
      </c>
      <c r="I385" s="31"/>
      <c r="J385" s="10">
        <f t="shared" ref="J385:J416" si="33">E385*0.99</f>
        <v>8306.1</v>
      </c>
      <c r="K385" s="31">
        <f t="shared" si="29"/>
        <v>0.22936155355702437</v>
      </c>
      <c r="L385" s="32"/>
    </row>
    <row r="386" spans="1:12" ht="13" x14ac:dyDescent="0.3">
      <c r="A386" s="5" t="s">
        <v>461</v>
      </c>
      <c r="B386" s="5" t="s">
        <v>665</v>
      </c>
      <c r="C386" s="4" t="s">
        <v>511</v>
      </c>
      <c r="D386" s="8">
        <v>16356</v>
      </c>
      <c r="E386" s="9">
        <v>21990</v>
      </c>
      <c r="F386" s="29">
        <f t="shared" si="30"/>
        <v>0.34446074834922968</v>
      </c>
      <c r="G386" s="31">
        <f t="shared" si="31"/>
        <v>0.25620736698499313</v>
      </c>
      <c r="H386" s="31" t="str">
        <f>VLOOKUP(C386,'Maestro de Productos'!$G:$H,2,0)</f>
        <v>1x750</v>
      </c>
      <c r="I386" s="31"/>
      <c r="J386" s="10">
        <f t="shared" si="33"/>
        <v>21770.1</v>
      </c>
      <c r="K386" s="31">
        <f t="shared" ref="K386:K449" si="34">IFERROR(1-D386/J386,0)</f>
        <v>0.24869431008585163</v>
      </c>
      <c r="L386" s="32"/>
    </row>
    <row r="387" spans="1:12" ht="13" x14ac:dyDescent="0.3">
      <c r="A387" s="5" t="s">
        <v>461</v>
      </c>
      <c r="B387" s="5" t="s">
        <v>665</v>
      </c>
      <c r="C387" s="4" t="s">
        <v>514</v>
      </c>
      <c r="D387" s="8">
        <v>3837</v>
      </c>
      <c r="E387" s="9">
        <v>4990</v>
      </c>
      <c r="F387" s="29">
        <f t="shared" si="30"/>
        <v>0.30049517852488927</v>
      </c>
      <c r="G387" s="31">
        <f t="shared" si="31"/>
        <v>0.23106212424849704</v>
      </c>
      <c r="H387" s="31" t="str">
        <f>VLOOKUP(C387,'Maestro de Productos'!$G:$H,2,0)</f>
        <v>1x750</v>
      </c>
      <c r="I387" s="31"/>
      <c r="J387" s="10">
        <f t="shared" si="33"/>
        <v>4940.1000000000004</v>
      </c>
      <c r="K387" s="31">
        <f t="shared" si="34"/>
        <v>0.22329507499848189</v>
      </c>
      <c r="L387" s="32"/>
    </row>
    <row r="388" spans="1:12" ht="13" x14ac:dyDescent="0.3">
      <c r="A388" s="5" t="s">
        <v>461</v>
      </c>
      <c r="B388" s="5" t="s">
        <v>665</v>
      </c>
      <c r="C388" s="4" t="s">
        <v>516</v>
      </c>
      <c r="D388" s="8">
        <v>3375.11</v>
      </c>
      <c r="E388" s="9">
        <v>4790</v>
      </c>
      <c r="F388" s="29">
        <f t="shared" si="30"/>
        <v>0.41921300342803636</v>
      </c>
      <c r="G388" s="31">
        <f t="shared" si="31"/>
        <v>0.29538413361169102</v>
      </c>
      <c r="H388" s="31" t="str">
        <f>VLOOKUP(C388,'Maestro de Productos'!$G:$H,2,0)</f>
        <v>1x750</v>
      </c>
      <c r="I388" s="31"/>
      <c r="J388" s="10">
        <f t="shared" si="33"/>
        <v>4742.1000000000004</v>
      </c>
      <c r="K388" s="31">
        <f t="shared" si="34"/>
        <v>0.2882668016279708</v>
      </c>
      <c r="L388" s="32"/>
    </row>
    <row r="389" spans="1:12" ht="13" x14ac:dyDescent="0.3">
      <c r="A389" s="5" t="s">
        <v>461</v>
      </c>
      <c r="B389" s="5" t="s">
        <v>665</v>
      </c>
      <c r="C389" s="4" t="s">
        <v>517</v>
      </c>
      <c r="D389" s="8">
        <v>3512.6519999999996</v>
      </c>
      <c r="E389" s="9">
        <v>4990</v>
      </c>
      <c r="F389" s="29">
        <f t="shared" si="30"/>
        <v>0.42057909522491865</v>
      </c>
      <c r="G389" s="31">
        <f t="shared" si="31"/>
        <v>0.29606172344689385</v>
      </c>
      <c r="H389" s="31" t="str">
        <f>VLOOKUP(C389,'Maestro de Productos'!$G:$H,2,0)</f>
        <v>1x750</v>
      </c>
      <c r="I389" s="31"/>
      <c r="J389" s="10">
        <f t="shared" si="33"/>
        <v>4940.1000000000004</v>
      </c>
      <c r="K389" s="31">
        <f t="shared" si="34"/>
        <v>0.28895123580494331</v>
      </c>
      <c r="L389" s="32"/>
    </row>
    <row r="390" spans="1:12" ht="13" x14ac:dyDescent="0.3">
      <c r="A390" s="5" t="s">
        <v>461</v>
      </c>
      <c r="B390" s="5" t="s">
        <v>665</v>
      </c>
      <c r="C390" s="4" t="s">
        <v>518</v>
      </c>
      <c r="D390" s="8">
        <v>7008</v>
      </c>
      <c r="E390" s="9">
        <v>9490</v>
      </c>
      <c r="F390" s="29">
        <f t="shared" si="30"/>
        <v>0.35416666666666674</v>
      </c>
      <c r="G390" s="31">
        <f t="shared" si="31"/>
        <v>0.2615384615384615</v>
      </c>
      <c r="H390" s="31" t="str">
        <f>VLOOKUP(C390,'Maestro de Productos'!$G:$H,2,0)</f>
        <v>1x750</v>
      </c>
      <c r="I390" s="31"/>
      <c r="J390" s="10">
        <f t="shared" si="33"/>
        <v>9395.1</v>
      </c>
      <c r="K390" s="31">
        <f t="shared" si="34"/>
        <v>0.25407925407925414</v>
      </c>
      <c r="L390" s="32"/>
    </row>
    <row r="391" spans="1:12" ht="13" x14ac:dyDescent="0.3">
      <c r="A391" s="5" t="s">
        <v>461</v>
      </c>
      <c r="B391" s="5" t="s">
        <v>665</v>
      </c>
      <c r="C391" s="4" t="s">
        <v>519</v>
      </c>
      <c r="D391" s="8">
        <v>9066</v>
      </c>
      <c r="E391" s="9">
        <v>0</v>
      </c>
      <c r="F391" s="29">
        <f t="shared" si="30"/>
        <v>-1</v>
      </c>
      <c r="G391" s="31">
        <f t="shared" si="31"/>
        <v>0</v>
      </c>
      <c r="H391" s="31" t="str">
        <f>VLOOKUP(C391,'Maestro de Productos'!$G:$H,2,0)</f>
        <v>1x750</v>
      </c>
      <c r="I391" s="31"/>
      <c r="J391" s="10">
        <f t="shared" si="33"/>
        <v>0</v>
      </c>
      <c r="K391" s="31">
        <f t="shared" si="34"/>
        <v>0</v>
      </c>
      <c r="L391" s="32"/>
    </row>
    <row r="392" spans="1:12" ht="13" x14ac:dyDescent="0.3">
      <c r="A392" s="5" t="s">
        <v>461</v>
      </c>
      <c r="B392" s="5" t="s">
        <v>665</v>
      </c>
      <c r="C392" s="4" t="s">
        <v>521</v>
      </c>
      <c r="D392" s="8">
        <v>8619</v>
      </c>
      <c r="E392" s="9">
        <v>11490</v>
      </c>
      <c r="F392" s="29">
        <f t="shared" ref="F392:F450" si="35">E392/D392-1</f>
        <v>0.3331012878524191</v>
      </c>
      <c r="G392" s="31">
        <f t="shared" si="31"/>
        <v>0.24986945169712793</v>
      </c>
      <c r="H392" s="31" t="str">
        <f>VLOOKUP(C392,'Maestro de Productos'!$G:$H,2,0)</f>
        <v>1x750</v>
      </c>
      <c r="I392" s="31"/>
      <c r="J392" s="10">
        <f t="shared" si="33"/>
        <v>11375.1</v>
      </c>
      <c r="K392" s="31">
        <f t="shared" si="34"/>
        <v>0.24229237545164439</v>
      </c>
      <c r="L392" s="32"/>
    </row>
    <row r="393" spans="1:12" ht="13" x14ac:dyDescent="0.3">
      <c r="A393" s="5" t="s">
        <v>461</v>
      </c>
      <c r="B393" s="5" t="s">
        <v>665</v>
      </c>
      <c r="C393" s="4" t="s">
        <v>522</v>
      </c>
      <c r="D393" s="8">
        <v>10932</v>
      </c>
      <c r="E393" s="9">
        <v>14490</v>
      </c>
      <c r="F393" s="29">
        <f t="shared" si="35"/>
        <v>0.32546652030735457</v>
      </c>
      <c r="G393" s="31">
        <f t="shared" si="31"/>
        <v>0.24554865424430639</v>
      </c>
      <c r="H393" s="31" t="str">
        <f>VLOOKUP(C393,'Maestro de Productos'!$G:$H,2,0)</f>
        <v>1x750</v>
      </c>
      <c r="I393" s="31"/>
      <c r="J393" s="10">
        <f t="shared" si="33"/>
        <v>14345.1</v>
      </c>
      <c r="K393" s="31">
        <f t="shared" si="34"/>
        <v>0.23792793358010755</v>
      </c>
      <c r="L393" s="32"/>
    </row>
    <row r="394" spans="1:12" ht="13" x14ac:dyDescent="0.3">
      <c r="A394" s="5" t="s">
        <v>461</v>
      </c>
      <c r="B394" s="5" t="s">
        <v>665</v>
      </c>
      <c r="C394" s="4" t="s">
        <v>524</v>
      </c>
      <c r="D394" s="8">
        <v>5076.0490000000009</v>
      </c>
      <c r="E394" s="9">
        <v>6490</v>
      </c>
      <c r="F394" s="29">
        <f t="shared" si="35"/>
        <v>0.27855345762028683</v>
      </c>
      <c r="G394" s="31">
        <f t="shared" si="31"/>
        <v>0.21786610169491516</v>
      </c>
      <c r="H394" s="31" t="str">
        <f>VLOOKUP(C394,'Maestro de Productos'!$G:$H,2,0)</f>
        <v>1x750</v>
      </c>
      <c r="I394" s="31"/>
      <c r="J394" s="10">
        <f t="shared" si="33"/>
        <v>6425.1</v>
      </c>
      <c r="K394" s="31">
        <f t="shared" si="34"/>
        <v>0.20996575928779304</v>
      </c>
      <c r="L394" s="32"/>
    </row>
    <row r="395" spans="1:12" ht="13" x14ac:dyDescent="0.3">
      <c r="A395" s="5" t="s">
        <v>461</v>
      </c>
      <c r="B395" s="5" t="s">
        <v>665</v>
      </c>
      <c r="C395" s="4" t="s">
        <v>525</v>
      </c>
      <c r="D395" s="8">
        <v>8812.629262800001</v>
      </c>
      <c r="E395" s="9">
        <v>0</v>
      </c>
      <c r="F395" s="29">
        <f t="shared" si="35"/>
        <v>-1</v>
      </c>
      <c r="G395" s="31">
        <f t="shared" si="31"/>
        <v>0</v>
      </c>
      <c r="H395" s="31" t="str">
        <f>VLOOKUP(C395,'Maestro de Productos'!$G:$H,2,0)</f>
        <v>1x750</v>
      </c>
      <c r="I395" s="31"/>
      <c r="J395" s="10">
        <f t="shared" si="33"/>
        <v>0</v>
      </c>
      <c r="K395" s="31">
        <f t="shared" si="34"/>
        <v>0</v>
      </c>
      <c r="L395" s="32"/>
    </row>
    <row r="396" spans="1:12" ht="13" x14ac:dyDescent="0.3">
      <c r="A396" s="5" t="s">
        <v>461</v>
      </c>
      <c r="B396" s="5" t="s">
        <v>665</v>
      </c>
      <c r="C396" s="4" t="s">
        <v>526</v>
      </c>
      <c r="D396" s="8">
        <v>16143.732000000002</v>
      </c>
      <c r="E396" s="9">
        <v>0</v>
      </c>
      <c r="F396" s="29">
        <f t="shared" si="35"/>
        <v>-1</v>
      </c>
      <c r="G396" s="31">
        <f t="shared" si="31"/>
        <v>0</v>
      </c>
      <c r="H396" s="31" t="str">
        <f>VLOOKUP(C396,'Maestro de Productos'!$G:$H,2,0)</f>
        <v>1x750</v>
      </c>
      <c r="I396" s="31"/>
      <c r="J396" s="10">
        <f t="shared" si="33"/>
        <v>0</v>
      </c>
      <c r="K396" s="31">
        <f t="shared" si="34"/>
        <v>0</v>
      </c>
      <c r="L396" s="32"/>
    </row>
    <row r="397" spans="1:12" ht="13" x14ac:dyDescent="0.3">
      <c r="A397" s="5" t="s">
        <v>461</v>
      </c>
      <c r="B397" s="5" t="s">
        <v>665</v>
      </c>
      <c r="C397" s="26" t="s">
        <v>527</v>
      </c>
      <c r="D397" s="8">
        <v>7410</v>
      </c>
      <c r="E397" s="9">
        <v>12990</v>
      </c>
      <c r="F397" s="29">
        <f t="shared" si="35"/>
        <v>0.75303643724696356</v>
      </c>
      <c r="G397" s="31">
        <f t="shared" si="31"/>
        <v>0.42956120092378758</v>
      </c>
      <c r="H397" s="31" t="str">
        <f>VLOOKUP(C397,'Maestro de Productos'!$G:$H,2,0)</f>
        <v>3x200</v>
      </c>
      <c r="I397" s="31"/>
      <c r="J397" s="10">
        <f t="shared" si="33"/>
        <v>12860.1</v>
      </c>
      <c r="K397" s="31">
        <f t="shared" si="34"/>
        <v>0.4237991928523106</v>
      </c>
      <c r="L397" s="32"/>
    </row>
    <row r="398" spans="1:12" ht="13" x14ac:dyDescent="0.3">
      <c r="A398" s="5" t="s">
        <v>461</v>
      </c>
      <c r="B398" s="5" t="s">
        <v>665</v>
      </c>
      <c r="C398" s="26" t="s">
        <v>530</v>
      </c>
      <c r="D398" s="8">
        <v>5289</v>
      </c>
      <c r="E398" s="9">
        <v>6990</v>
      </c>
      <c r="F398" s="29">
        <f t="shared" si="35"/>
        <v>0.32161089052750991</v>
      </c>
      <c r="G398" s="31">
        <f t="shared" si="31"/>
        <v>0.24334763948497851</v>
      </c>
      <c r="H398" s="31" t="str">
        <f>VLOOKUP(C398,'Maestro de Productos'!$G:$H,2,0)</f>
        <v>1x750</v>
      </c>
      <c r="I398" s="31"/>
      <c r="J398" s="10">
        <f t="shared" si="33"/>
        <v>6920.1</v>
      </c>
      <c r="K398" s="31">
        <f t="shared" si="34"/>
        <v>0.2357046863484632</v>
      </c>
      <c r="L398" s="32"/>
    </row>
    <row r="399" spans="1:12" ht="13" x14ac:dyDescent="0.3">
      <c r="A399" s="5" t="s">
        <v>461</v>
      </c>
      <c r="B399" s="5" t="s">
        <v>666</v>
      </c>
      <c r="C399" s="26" t="s">
        <v>532</v>
      </c>
      <c r="D399" s="8">
        <v>5240.2463999999991</v>
      </c>
      <c r="E399" s="9">
        <v>0</v>
      </c>
      <c r="F399" s="29">
        <f t="shared" si="35"/>
        <v>-1</v>
      </c>
      <c r="G399" s="31">
        <f t="shared" si="31"/>
        <v>0</v>
      </c>
      <c r="H399" s="31" t="str">
        <f>VLOOKUP(C399,'Maestro de Productos'!$G:$H,2,0)</f>
        <v>1x750</v>
      </c>
      <c r="I399" s="31"/>
      <c r="J399" s="10">
        <f t="shared" si="33"/>
        <v>0</v>
      </c>
      <c r="K399" s="31">
        <f t="shared" si="34"/>
        <v>0</v>
      </c>
      <c r="L399" s="10"/>
    </row>
    <row r="400" spans="1:12" ht="13" x14ac:dyDescent="0.3">
      <c r="A400" s="5" t="s">
        <v>461</v>
      </c>
      <c r="B400" s="5" t="s">
        <v>666</v>
      </c>
      <c r="C400" s="26" t="s">
        <v>706</v>
      </c>
      <c r="D400" s="8">
        <v>9000</v>
      </c>
      <c r="E400" s="9">
        <v>12490</v>
      </c>
      <c r="F400" s="29">
        <f t="shared" si="35"/>
        <v>0.38777777777777778</v>
      </c>
      <c r="G400" s="31">
        <f t="shared" si="31"/>
        <v>0.27942353883106485</v>
      </c>
      <c r="H400" s="31" t="str">
        <f>VLOOKUP(C400,'Maestro de Productos'!$G:$H,2,0)</f>
        <v>1x750</v>
      </c>
      <c r="I400" s="31"/>
      <c r="J400" s="10">
        <f t="shared" si="33"/>
        <v>12365.1</v>
      </c>
      <c r="K400" s="31">
        <f t="shared" si="34"/>
        <v>0.27214498871824733</v>
      </c>
      <c r="L400" s="10"/>
    </row>
    <row r="401" spans="1:12" ht="13" x14ac:dyDescent="0.3">
      <c r="A401" s="5" t="s">
        <v>461</v>
      </c>
      <c r="B401" s="5" t="s">
        <v>666</v>
      </c>
      <c r="C401" s="26" t="s">
        <v>707</v>
      </c>
      <c r="D401" s="8">
        <v>8900</v>
      </c>
      <c r="E401" s="9">
        <v>11990</v>
      </c>
      <c r="F401" s="29">
        <f t="shared" si="35"/>
        <v>0.34719101123595508</v>
      </c>
      <c r="G401" s="31">
        <f t="shared" si="31"/>
        <v>0.25771476230191825</v>
      </c>
      <c r="H401" s="31" t="str">
        <f>VLOOKUP(C401,'Maestro de Productos'!$G:$H,2,0)</f>
        <v>1x750</v>
      </c>
      <c r="I401" s="31"/>
      <c r="J401" s="10">
        <f t="shared" si="33"/>
        <v>11870.1</v>
      </c>
      <c r="K401" s="31">
        <f t="shared" si="34"/>
        <v>0.25021693161809933</v>
      </c>
      <c r="L401" s="10"/>
    </row>
    <row r="402" spans="1:12" ht="13" x14ac:dyDescent="0.3">
      <c r="A402" s="5" t="s">
        <v>461</v>
      </c>
      <c r="B402" s="5" t="s">
        <v>666</v>
      </c>
      <c r="C402" s="26" t="s">
        <v>708</v>
      </c>
      <c r="D402" s="8">
        <v>37300</v>
      </c>
      <c r="E402" s="9">
        <v>52990</v>
      </c>
      <c r="F402" s="29">
        <f>E402/D402-1</f>
        <v>0.42064343163538864</v>
      </c>
      <c r="G402" s="31">
        <f>IFERROR(1-D402/E402,0)</f>
        <v>0.29609360256652195</v>
      </c>
      <c r="H402" s="31" t="str">
        <f>VLOOKUP(C402,'Maestro de Productos'!$G:$H,2,0)</f>
        <v>1x750</v>
      </c>
      <c r="I402" s="31"/>
      <c r="J402" s="10">
        <f t="shared" si="33"/>
        <v>52460.1</v>
      </c>
      <c r="K402" s="31">
        <f t="shared" si="34"/>
        <v>0.2889834369358808</v>
      </c>
      <c r="L402" s="10"/>
    </row>
    <row r="403" spans="1:12" ht="13" x14ac:dyDescent="0.3">
      <c r="A403" s="5" t="s">
        <v>461</v>
      </c>
      <c r="B403" s="5" t="s">
        <v>666</v>
      </c>
      <c r="C403" s="26" t="s">
        <v>709</v>
      </c>
      <c r="D403" s="8">
        <v>41500</v>
      </c>
      <c r="E403" s="9">
        <v>59990</v>
      </c>
      <c r="F403" s="29">
        <f>E403/D403-1</f>
        <v>0.44554216867469876</v>
      </c>
      <c r="G403" s="31">
        <f>IFERROR(1-D403/E403,0)</f>
        <v>0.30821803633938993</v>
      </c>
      <c r="H403" s="31" t="str">
        <f>VLOOKUP(C403,'Maestro de Productos'!$G:$H,2,0)</f>
        <v>1x750</v>
      </c>
      <c r="I403" s="31"/>
      <c r="J403" s="10">
        <f t="shared" si="33"/>
        <v>59390.1</v>
      </c>
      <c r="K403" s="31">
        <f t="shared" si="34"/>
        <v>0.3012303397367575</v>
      </c>
      <c r="L403" s="10"/>
    </row>
    <row r="404" spans="1:12" ht="13" x14ac:dyDescent="0.3">
      <c r="A404" s="5" t="s">
        <v>461</v>
      </c>
      <c r="B404" s="5" t="s">
        <v>665</v>
      </c>
      <c r="C404" s="26" t="s">
        <v>535</v>
      </c>
      <c r="D404" s="8">
        <v>9216</v>
      </c>
      <c r="E404" s="9">
        <v>11490</v>
      </c>
      <c r="F404" s="29">
        <f t="shared" si="35"/>
        <v>0.24674479166666674</v>
      </c>
      <c r="G404" s="31">
        <f t="shared" si="31"/>
        <v>0.19791122715404696</v>
      </c>
      <c r="H404" s="31" t="str">
        <f>VLOOKUP(C404,'Maestro de Productos'!$G:$H,2,0)</f>
        <v>1x750</v>
      </c>
      <c r="I404" s="31"/>
      <c r="J404" s="10">
        <f t="shared" si="33"/>
        <v>11375.1</v>
      </c>
      <c r="K404" s="31">
        <f t="shared" si="34"/>
        <v>0.18980932035762321</v>
      </c>
      <c r="L404" s="32"/>
    </row>
    <row r="405" spans="1:12" ht="13" x14ac:dyDescent="0.3">
      <c r="A405" s="5" t="s">
        <v>461</v>
      </c>
      <c r="B405" s="5" t="s">
        <v>665</v>
      </c>
      <c r="C405" s="26" t="s">
        <v>537</v>
      </c>
      <c r="D405" s="8">
        <v>3191.6919999999996</v>
      </c>
      <c r="E405" s="9">
        <v>4190</v>
      </c>
      <c r="F405" s="29">
        <f t="shared" si="35"/>
        <v>0.31278331367813705</v>
      </c>
      <c r="G405" s="31">
        <f t="shared" si="31"/>
        <v>0.2382596658711218</v>
      </c>
      <c r="H405" s="31" t="str">
        <f>VLOOKUP(C405,'Maestro de Productos'!$G:$H,2,0)</f>
        <v>1x700</v>
      </c>
      <c r="I405" s="31"/>
      <c r="J405" s="10">
        <f t="shared" si="33"/>
        <v>4148.1000000000004</v>
      </c>
      <c r="K405" s="31">
        <f t="shared" si="34"/>
        <v>0.23056531906173927</v>
      </c>
      <c r="L405" s="32"/>
    </row>
    <row r="406" spans="1:12" ht="13" x14ac:dyDescent="0.3">
      <c r="A406" s="5" t="s">
        <v>461</v>
      </c>
      <c r="B406" s="5" t="s">
        <v>665</v>
      </c>
      <c r="C406" s="4" t="s">
        <v>538</v>
      </c>
      <c r="D406" s="8">
        <v>4787.5529999999999</v>
      </c>
      <c r="E406" s="9">
        <v>6290</v>
      </c>
      <c r="F406" s="29">
        <f t="shared" si="35"/>
        <v>0.31382357542569239</v>
      </c>
      <c r="G406" s="31">
        <f t="shared" si="31"/>
        <v>0.23886279809220989</v>
      </c>
      <c r="H406" s="31" t="str">
        <f>VLOOKUP(C406,'Maestro de Productos'!$G:$H,2,0)</f>
        <v>1x700</v>
      </c>
      <c r="I406" s="31"/>
      <c r="J406" s="10">
        <f t="shared" si="33"/>
        <v>6227.1</v>
      </c>
      <c r="K406" s="31">
        <f t="shared" si="34"/>
        <v>0.23117454352748479</v>
      </c>
      <c r="L406" s="32"/>
    </row>
    <row r="407" spans="1:12" ht="13" x14ac:dyDescent="0.3">
      <c r="A407" s="5" t="s">
        <v>461</v>
      </c>
      <c r="B407" s="5" t="s">
        <v>665</v>
      </c>
      <c r="C407" s="4" t="s">
        <v>539</v>
      </c>
      <c r="D407" s="8">
        <v>7181.3280000000013</v>
      </c>
      <c r="E407" s="9">
        <v>9390</v>
      </c>
      <c r="F407" s="29">
        <f t="shared" si="35"/>
        <v>0.30755759937437732</v>
      </c>
      <c r="G407" s="31">
        <f t="shared" si="31"/>
        <v>0.23521533546325868</v>
      </c>
      <c r="H407" s="31" t="str">
        <f>VLOOKUP(C407,'Maestro de Productos'!$G:$H,2,0)</f>
        <v>1x700</v>
      </c>
      <c r="I407" s="31"/>
      <c r="J407" s="10">
        <f t="shared" si="33"/>
        <v>9296.1</v>
      </c>
      <c r="K407" s="31">
        <f t="shared" si="34"/>
        <v>0.22749023784167544</v>
      </c>
      <c r="L407" s="32"/>
    </row>
    <row r="408" spans="1:12" ht="13" x14ac:dyDescent="0.3">
      <c r="A408" s="5" t="s">
        <v>461</v>
      </c>
      <c r="B408" s="5" t="s">
        <v>665</v>
      </c>
      <c r="C408" s="4" t="s">
        <v>541</v>
      </c>
      <c r="D408" s="8">
        <v>5106.7246507518821</v>
      </c>
      <c r="E408" s="9">
        <v>6990</v>
      </c>
      <c r="F408" s="29">
        <f t="shared" si="35"/>
        <v>0.36878341364475875</v>
      </c>
      <c r="G408" s="31">
        <f t="shared" si="31"/>
        <v>0.26942422736024574</v>
      </c>
      <c r="H408" s="31" t="str">
        <f>VLOOKUP(C408,'Maestro de Productos'!$G:$H,2,0)</f>
        <v>1x700</v>
      </c>
      <c r="I408" s="31"/>
      <c r="J408" s="10">
        <f t="shared" si="33"/>
        <v>6920.1</v>
      </c>
      <c r="K408" s="31">
        <f t="shared" si="34"/>
        <v>0.26204467410125842</v>
      </c>
      <c r="L408" s="32"/>
    </row>
    <row r="409" spans="1:12" ht="13" x14ac:dyDescent="0.3">
      <c r="A409" s="5" t="s">
        <v>461</v>
      </c>
      <c r="B409" s="5" t="s">
        <v>665</v>
      </c>
      <c r="C409" s="4" t="s">
        <v>543</v>
      </c>
      <c r="D409" s="8">
        <v>5425.898000000002</v>
      </c>
      <c r="E409" s="9">
        <v>7290</v>
      </c>
      <c r="F409" s="29">
        <f t="shared" si="35"/>
        <v>0.3435564030138416</v>
      </c>
      <c r="G409" s="31">
        <f t="shared" si="31"/>
        <v>0.25570672153635088</v>
      </c>
      <c r="H409" s="31" t="str">
        <f>VLOOKUP(C409,'Maestro de Productos'!$G:$H,2,0)</f>
        <v>1x700</v>
      </c>
      <c r="I409" s="31"/>
      <c r="J409" s="10">
        <f t="shared" si="33"/>
        <v>7217.1</v>
      </c>
      <c r="K409" s="31">
        <f t="shared" si="34"/>
        <v>0.24818860761247574</v>
      </c>
      <c r="L409" s="32"/>
    </row>
    <row r="410" spans="1:12" ht="13" x14ac:dyDescent="0.3">
      <c r="A410" s="5" t="s">
        <v>461</v>
      </c>
      <c r="B410" s="5" t="s">
        <v>665</v>
      </c>
      <c r="C410" s="4" t="s">
        <v>545</v>
      </c>
      <c r="D410" s="8">
        <v>5425.898000000002</v>
      </c>
      <c r="E410" s="9">
        <v>7290</v>
      </c>
      <c r="F410" s="29">
        <f t="shared" si="35"/>
        <v>0.3435564030138416</v>
      </c>
      <c r="G410" s="31">
        <f t="shared" si="31"/>
        <v>0.25570672153635088</v>
      </c>
      <c r="H410" s="31" t="str">
        <f>VLOOKUP(C410,'Maestro de Productos'!$G:$H,2,0)</f>
        <v>1x700</v>
      </c>
      <c r="I410" s="31"/>
      <c r="J410" s="10">
        <f t="shared" si="33"/>
        <v>7217.1</v>
      </c>
      <c r="K410" s="31">
        <f t="shared" si="34"/>
        <v>0.24818860761247574</v>
      </c>
      <c r="L410" s="32"/>
    </row>
    <row r="411" spans="1:12" ht="13" x14ac:dyDescent="0.3">
      <c r="A411" s="5" t="s">
        <v>461</v>
      </c>
      <c r="B411" s="5" t="s">
        <v>665</v>
      </c>
      <c r="C411" s="4" t="s">
        <v>547</v>
      </c>
      <c r="D411" s="8">
        <v>5425.898000000002</v>
      </c>
      <c r="E411" s="9">
        <v>7290</v>
      </c>
      <c r="F411" s="29">
        <f t="shared" si="35"/>
        <v>0.3435564030138416</v>
      </c>
      <c r="G411" s="31">
        <f t="shared" si="31"/>
        <v>0.25570672153635088</v>
      </c>
      <c r="H411" s="31" t="str">
        <f>VLOOKUP(C411,'Maestro de Productos'!$G:$H,2,0)</f>
        <v>1x750</v>
      </c>
      <c r="I411" s="31"/>
      <c r="J411" s="10">
        <f t="shared" si="33"/>
        <v>7217.1</v>
      </c>
      <c r="K411" s="31">
        <f t="shared" si="34"/>
        <v>0.24818860761247574</v>
      </c>
      <c r="L411" s="32"/>
    </row>
    <row r="412" spans="1:12" ht="13" x14ac:dyDescent="0.3">
      <c r="A412" s="5" t="s">
        <v>461</v>
      </c>
      <c r="B412" s="5" t="s">
        <v>665</v>
      </c>
      <c r="C412" s="4" t="s">
        <v>549</v>
      </c>
      <c r="D412" s="8">
        <v>5425.898000000002</v>
      </c>
      <c r="E412" s="9">
        <v>7290</v>
      </c>
      <c r="F412" s="29">
        <f t="shared" si="35"/>
        <v>0.3435564030138416</v>
      </c>
      <c r="G412" s="31">
        <f t="shared" ref="G412:G450" si="36">IFERROR(1-D412/E412,0)</f>
        <v>0.25570672153635088</v>
      </c>
      <c r="H412" s="31" t="str">
        <f>VLOOKUP(C412,'Maestro de Productos'!$G:$H,2,0)</f>
        <v>1x750</v>
      </c>
      <c r="I412" s="31"/>
      <c r="J412" s="10">
        <f t="shared" si="33"/>
        <v>7217.1</v>
      </c>
      <c r="K412" s="31">
        <f t="shared" si="34"/>
        <v>0.24818860761247574</v>
      </c>
      <c r="L412" s="32"/>
    </row>
    <row r="413" spans="1:12" ht="13" x14ac:dyDescent="0.3">
      <c r="A413" s="5" t="s">
        <v>461</v>
      </c>
      <c r="B413" s="5" t="s">
        <v>665</v>
      </c>
      <c r="C413" s="4" t="s">
        <v>551</v>
      </c>
      <c r="D413" s="8">
        <v>5425.898000000002</v>
      </c>
      <c r="E413" s="9">
        <v>7290</v>
      </c>
      <c r="F413" s="29">
        <f t="shared" si="35"/>
        <v>0.3435564030138416</v>
      </c>
      <c r="G413" s="31">
        <f t="shared" si="36"/>
        <v>0.25570672153635088</v>
      </c>
      <c r="H413" s="31" t="str">
        <f>VLOOKUP(C413,'Maestro de Productos'!$G:$H,2,0)</f>
        <v>1x750</v>
      </c>
      <c r="I413" s="31"/>
      <c r="J413" s="10">
        <f t="shared" si="33"/>
        <v>7217.1</v>
      </c>
      <c r="K413" s="31">
        <f t="shared" si="34"/>
        <v>0.24818860761247574</v>
      </c>
      <c r="L413" s="32"/>
    </row>
    <row r="414" spans="1:12" ht="13" x14ac:dyDescent="0.3">
      <c r="A414" s="5" t="s">
        <v>461</v>
      </c>
      <c r="B414" s="5" t="s">
        <v>665</v>
      </c>
      <c r="C414" s="4" t="s">
        <v>553</v>
      </c>
      <c r="D414" s="8">
        <v>5745.0672104465966</v>
      </c>
      <c r="E414" s="9">
        <v>7890</v>
      </c>
      <c r="F414" s="29">
        <f t="shared" si="35"/>
        <v>0.37335207944184612</v>
      </c>
      <c r="G414" s="31">
        <f t="shared" si="36"/>
        <v>0.27185459943642631</v>
      </c>
      <c r="H414" s="31" t="str">
        <f>VLOOKUP(C414,'Maestro de Productos'!$G:$H,2,0)</f>
        <v>1x750</v>
      </c>
      <c r="I414" s="31"/>
      <c r="J414" s="10">
        <f t="shared" si="33"/>
        <v>7811.1</v>
      </c>
      <c r="K414" s="31">
        <f t="shared" si="34"/>
        <v>0.26449959539032963</v>
      </c>
      <c r="L414" s="32"/>
    </row>
    <row r="415" spans="1:12" ht="13" x14ac:dyDescent="0.3">
      <c r="A415" s="5" t="s">
        <v>456</v>
      </c>
      <c r="B415" s="5" t="s">
        <v>665</v>
      </c>
      <c r="C415" s="4" t="s">
        <v>458</v>
      </c>
      <c r="D415" s="8">
        <v>4372.8704250000001</v>
      </c>
      <c r="E415" s="9">
        <v>7990</v>
      </c>
      <c r="F415" s="29">
        <f t="shared" si="35"/>
        <v>0.82717511004227839</v>
      </c>
      <c r="G415" s="31">
        <f t="shared" si="36"/>
        <v>0.45270708072590737</v>
      </c>
      <c r="H415" s="31" t="str">
        <f>VLOOKUP(C415,'Maestro de Productos'!$G:$H,2,0)</f>
        <v>1x750</v>
      </c>
      <c r="I415" s="31"/>
      <c r="J415" s="10">
        <f t="shared" si="33"/>
        <v>7910.1</v>
      </c>
      <c r="K415" s="31">
        <f t="shared" si="34"/>
        <v>0.44717886942010854</v>
      </c>
      <c r="L415" s="32"/>
    </row>
    <row r="416" spans="1:12" ht="13" x14ac:dyDescent="0.3">
      <c r="A416" s="5" t="s">
        <v>456</v>
      </c>
      <c r="B416" s="5" t="s">
        <v>665</v>
      </c>
      <c r="C416" s="4" t="s">
        <v>459</v>
      </c>
      <c r="D416" s="8">
        <v>7509.1631999999991</v>
      </c>
      <c r="E416" s="9">
        <v>13990</v>
      </c>
      <c r="F416" s="29">
        <f t="shared" si="35"/>
        <v>0.86305712466070816</v>
      </c>
      <c r="G416" s="31">
        <f t="shared" si="36"/>
        <v>0.46324780557541112</v>
      </c>
      <c r="H416" s="31" t="str">
        <f>VLOOKUP(C416,'Maestro de Productos'!$G:$H,2,0)</f>
        <v>1x750</v>
      </c>
      <c r="I416" s="31"/>
      <c r="J416" s="10">
        <f t="shared" si="33"/>
        <v>13850.1</v>
      </c>
      <c r="K416" s="31">
        <f t="shared" si="34"/>
        <v>0.45782606623778899</v>
      </c>
      <c r="L416" s="32"/>
    </row>
    <row r="417" spans="1:12" ht="13" x14ac:dyDescent="0.3">
      <c r="A417" s="5" t="s">
        <v>456</v>
      </c>
      <c r="B417" s="5" t="s">
        <v>665</v>
      </c>
      <c r="C417" s="4" t="s">
        <v>460</v>
      </c>
      <c r="D417" s="8">
        <v>24437.267084999996</v>
      </c>
      <c r="E417" s="9">
        <v>41990</v>
      </c>
      <c r="F417" s="29">
        <f t="shared" si="35"/>
        <v>0.71827724654915137</v>
      </c>
      <c r="G417" s="31">
        <f t="shared" si="36"/>
        <v>0.41802174124791625</v>
      </c>
      <c r="H417" s="31" t="str">
        <f>VLOOKUP(C417,'Maestro de Productos'!$G:$H,2,0)</f>
        <v>1x750</v>
      </c>
      <c r="I417" s="31"/>
      <c r="J417" s="10">
        <f t="shared" ref="J417:J450" si="37">E417*0.99</f>
        <v>41570.1</v>
      </c>
      <c r="K417" s="31">
        <f t="shared" si="34"/>
        <v>0.41214317297769321</v>
      </c>
      <c r="L417" s="32"/>
    </row>
    <row r="418" spans="1:12" ht="13" x14ac:dyDescent="0.3">
      <c r="A418" s="5" t="s">
        <v>710</v>
      </c>
      <c r="B418" s="5" t="s">
        <v>665</v>
      </c>
      <c r="C418" s="38" t="s">
        <v>582</v>
      </c>
      <c r="D418" s="8">
        <f t="shared" ref="D418:E423" si="38">D333+D$430*4</f>
        <v>1785</v>
      </c>
      <c r="E418" s="9">
        <f t="shared" si="38"/>
        <v>2350</v>
      </c>
      <c r="F418" s="29">
        <f t="shared" si="35"/>
        <v>0.31652661064425769</v>
      </c>
      <c r="G418" s="31">
        <f t="shared" si="36"/>
        <v>0.24042553191489358</v>
      </c>
      <c r="H418" s="31" t="str">
        <f>VLOOKUP(C418,'Maestro de Productos'!$G:$H,2,0)</f>
        <v>N/A</v>
      </c>
      <c r="I418" s="31"/>
      <c r="J418" s="10">
        <f t="shared" si="37"/>
        <v>2326.5</v>
      </c>
      <c r="K418" s="31">
        <f t="shared" si="34"/>
        <v>0.2327530625402966</v>
      </c>
      <c r="L418" s="32"/>
    </row>
    <row r="419" spans="1:12" ht="13" x14ac:dyDescent="0.3">
      <c r="A419" s="5" t="s">
        <v>710</v>
      </c>
      <c r="B419" s="5" t="s">
        <v>665</v>
      </c>
      <c r="C419" s="38" t="s">
        <v>583</v>
      </c>
      <c r="D419" s="8">
        <f t="shared" si="38"/>
        <v>1928</v>
      </c>
      <c r="E419" s="9">
        <f t="shared" si="38"/>
        <v>2550</v>
      </c>
      <c r="F419" s="29">
        <f t="shared" si="35"/>
        <v>0.32261410788381739</v>
      </c>
      <c r="G419" s="31">
        <f t="shared" si="36"/>
        <v>0.24392156862745096</v>
      </c>
      <c r="H419" s="31" t="str">
        <f>VLOOKUP(C419,'Maestro de Productos'!$G:$H,2,0)</f>
        <v>N/A</v>
      </c>
      <c r="I419" s="31"/>
      <c r="J419" s="10">
        <f t="shared" si="37"/>
        <v>2524.5</v>
      </c>
      <c r="K419" s="31">
        <f t="shared" si="34"/>
        <v>0.23628441275500101</v>
      </c>
      <c r="L419" s="32"/>
    </row>
    <row r="420" spans="1:12" ht="13" x14ac:dyDescent="0.3">
      <c r="A420" s="5" t="s">
        <v>710</v>
      </c>
      <c r="B420" s="5" t="s">
        <v>665</v>
      </c>
      <c r="C420" s="38" t="s">
        <v>584</v>
      </c>
      <c r="D420" s="8">
        <f t="shared" si="38"/>
        <v>1928</v>
      </c>
      <c r="E420" s="9">
        <f t="shared" si="38"/>
        <v>2550</v>
      </c>
      <c r="F420" s="29">
        <f t="shared" si="35"/>
        <v>0.32261410788381739</v>
      </c>
      <c r="G420" s="31">
        <f t="shared" si="36"/>
        <v>0.24392156862745096</v>
      </c>
      <c r="H420" s="31" t="str">
        <f>VLOOKUP(C420,'Maestro de Productos'!$G:$H,2,0)</f>
        <v>N/A</v>
      </c>
      <c r="I420" s="31"/>
      <c r="J420" s="10">
        <f t="shared" si="37"/>
        <v>2524.5</v>
      </c>
      <c r="K420" s="31">
        <f t="shared" si="34"/>
        <v>0.23628441275500101</v>
      </c>
      <c r="L420" s="32"/>
    </row>
    <row r="421" spans="1:12" ht="13" x14ac:dyDescent="0.3">
      <c r="A421" s="5" t="s">
        <v>435</v>
      </c>
      <c r="B421" s="5" t="s">
        <v>665</v>
      </c>
      <c r="C421" s="38" t="s">
        <v>585</v>
      </c>
      <c r="D421" s="8">
        <f t="shared" si="38"/>
        <v>1928</v>
      </c>
      <c r="E421" s="9">
        <f t="shared" si="38"/>
        <v>2550</v>
      </c>
      <c r="F421" s="29">
        <f t="shared" si="35"/>
        <v>0.32261410788381739</v>
      </c>
      <c r="G421" s="31">
        <f t="shared" si="36"/>
        <v>0.24392156862745096</v>
      </c>
      <c r="H421" s="31" t="str">
        <f>VLOOKUP(C421,'Maestro de Productos'!$G:$H,2,0)</f>
        <v>N/A</v>
      </c>
      <c r="I421" s="31"/>
      <c r="J421" s="10">
        <f t="shared" si="37"/>
        <v>2524.5</v>
      </c>
      <c r="K421" s="31">
        <f t="shared" si="34"/>
        <v>0.23628441275500101</v>
      </c>
      <c r="L421" s="32"/>
    </row>
    <row r="422" spans="1:12" ht="13" x14ac:dyDescent="0.3">
      <c r="A422" s="5" t="s">
        <v>435</v>
      </c>
      <c r="B422" s="5" t="s">
        <v>665</v>
      </c>
      <c r="C422" s="38" t="s">
        <v>586</v>
      </c>
      <c r="D422" s="8">
        <f t="shared" si="38"/>
        <v>1928</v>
      </c>
      <c r="E422" s="9">
        <f t="shared" si="38"/>
        <v>2550</v>
      </c>
      <c r="F422" s="29">
        <f t="shared" si="35"/>
        <v>0.32261410788381739</v>
      </c>
      <c r="G422" s="31">
        <f t="shared" si="36"/>
        <v>0.24392156862745096</v>
      </c>
      <c r="H422" s="31" t="str">
        <f>VLOOKUP(C422,'Maestro de Productos'!$G:$H,2,0)</f>
        <v>N/A</v>
      </c>
      <c r="I422" s="31"/>
      <c r="J422" s="10">
        <f t="shared" si="37"/>
        <v>2524.5</v>
      </c>
      <c r="K422" s="31">
        <f t="shared" si="34"/>
        <v>0.23628441275500101</v>
      </c>
      <c r="L422" s="32"/>
    </row>
    <row r="423" spans="1:12" ht="13" x14ac:dyDescent="0.3">
      <c r="A423" s="5" t="s">
        <v>435</v>
      </c>
      <c r="B423" s="5" t="s">
        <v>665</v>
      </c>
      <c r="C423" s="38" t="s">
        <v>587</v>
      </c>
      <c r="D423" s="8">
        <f t="shared" si="38"/>
        <v>1928</v>
      </c>
      <c r="E423" s="9">
        <f t="shared" si="38"/>
        <v>2550</v>
      </c>
      <c r="F423" s="29">
        <f t="shared" si="35"/>
        <v>0.32261410788381739</v>
      </c>
      <c r="G423" s="31">
        <f t="shared" si="36"/>
        <v>0.24392156862745096</v>
      </c>
      <c r="H423" s="31" t="str">
        <f>VLOOKUP(C423,'Maestro de Productos'!$G:$H,2,0)</f>
        <v>N/A</v>
      </c>
      <c r="I423" s="31"/>
      <c r="J423" s="10">
        <f t="shared" si="37"/>
        <v>2524.5</v>
      </c>
      <c r="K423" s="31">
        <f t="shared" si="34"/>
        <v>0.23628441275500101</v>
      </c>
      <c r="L423" s="32"/>
    </row>
    <row r="424" spans="1:12" ht="13" x14ac:dyDescent="0.3">
      <c r="A424" s="5" t="s">
        <v>710</v>
      </c>
      <c r="B424" s="5" t="s">
        <v>665</v>
      </c>
      <c r="C424" s="38" t="s">
        <v>588</v>
      </c>
      <c r="D424" s="8">
        <f>D354+D$430*4</f>
        <v>1921.05</v>
      </c>
      <c r="E424" s="9">
        <f>E354+E$430*4</f>
        <v>2490</v>
      </c>
      <c r="F424" s="29">
        <f t="shared" si="35"/>
        <v>0.29616615913172484</v>
      </c>
      <c r="G424" s="31">
        <f t="shared" si="36"/>
        <v>0.22849397590361442</v>
      </c>
      <c r="H424" s="31" t="str">
        <f>VLOOKUP(C424,'Maestro de Productos'!$G:$H,2,0)</f>
        <v>N/A</v>
      </c>
      <c r="I424" s="31"/>
      <c r="J424" s="10">
        <f t="shared" si="37"/>
        <v>2465.1</v>
      </c>
      <c r="K424" s="31">
        <f t="shared" si="34"/>
        <v>0.22070098576122676</v>
      </c>
      <c r="L424" s="32"/>
    </row>
    <row r="425" spans="1:12" ht="13" x14ac:dyDescent="0.3">
      <c r="A425" s="5" t="s">
        <v>710</v>
      </c>
      <c r="B425" s="5" t="s">
        <v>665</v>
      </c>
      <c r="C425" s="38" t="s">
        <v>589</v>
      </c>
      <c r="D425" s="8">
        <f>D318+D$430*4</f>
        <v>2142</v>
      </c>
      <c r="E425" s="9">
        <f>E318+E$430*4</f>
        <v>2790</v>
      </c>
      <c r="F425" s="29">
        <f t="shared" si="35"/>
        <v>0.30252100840336138</v>
      </c>
      <c r="G425" s="31">
        <f t="shared" si="36"/>
        <v>0.23225806451612907</v>
      </c>
      <c r="H425" s="31" t="str">
        <f>VLOOKUP(C425,'Maestro de Productos'!$G:$H,2,0)</f>
        <v>N/A</v>
      </c>
      <c r="I425" s="31"/>
      <c r="J425" s="10">
        <f t="shared" si="37"/>
        <v>2762.1</v>
      </c>
      <c r="K425" s="31">
        <f t="shared" si="34"/>
        <v>0.22450309547083735</v>
      </c>
      <c r="L425" s="32"/>
    </row>
    <row r="426" spans="1:12" ht="13" x14ac:dyDescent="0.3">
      <c r="A426" s="5" t="s">
        <v>435</v>
      </c>
      <c r="B426" s="5" t="s">
        <v>665</v>
      </c>
      <c r="C426" s="38" t="s">
        <v>711</v>
      </c>
      <c r="D426" s="8">
        <f t="shared" ref="D426:E428" si="39">D311+D$429*6</f>
        <v>5427.45</v>
      </c>
      <c r="E426" s="9">
        <f t="shared" si="39"/>
        <v>6890</v>
      </c>
      <c r="F426" s="29">
        <f t="shared" si="35"/>
        <v>0.26947277266487957</v>
      </c>
      <c r="G426" s="31">
        <f t="shared" si="36"/>
        <v>0.21227140783744558</v>
      </c>
      <c r="H426" s="31" t="e">
        <f>VLOOKUP(C426,'Maestro de Productos'!$G:$H,2,0)</f>
        <v>#N/A</v>
      </c>
      <c r="I426" s="31"/>
      <c r="J426" s="10">
        <f t="shared" si="37"/>
        <v>6821.1</v>
      </c>
      <c r="K426" s="31">
        <f t="shared" si="34"/>
        <v>0.20431455337115723</v>
      </c>
      <c r="L426" s="32"/>
    </row>
    <row r="427" spans="1:12" ht="13" x14ac:dyDescent="0.3">
      <c r="A427" s="5" t="s">
        <v>710</v>
      </c>
      <c r="B427" s="5" t="s">
        <v>665</v>
      </c>
      <c r="C427" s="38" t="s">
        <v>712</v>
      </c>
      <c r="D427" s="8">
        <f t="shared" si="39"/>
        <v>6356</v>
      </c>
      <c r="E427" s="9">
        <f t="shared" si="39"/>
        <v>8190</v>
      </c>
      <c r="F427" s="29">
        <f t="shared" si="35"/>
        <v>0.28854625550660784</v>
      </c>
      <c r="G427" s="31">
        <f t="shared" si="36"/>
        <v>0.22393162393162391</v>
      </c>
      <c r="H427" s="31" t="e">
        <f>VLOOKUP(C427,'Maestro de Productos'!$G:$H,2,0)</f>
        <v>#N/A</v>
      </c>
      <c r="I427" s="31"/>
      <c r="J427" s="10">
        <f t="shared" si="37"/>
        <v>8108.1</v>
      </c>
      <c r="K427" s="31">
        <f t="shared" si="34"/>
        <v>0.21609254942588274</v>
      </c>
      <c r="L427" s="32"/>
    </row>
    <row r="428" spans="1:12" ht="13" x14ac:dyDescent="0.3">
      <c r="A428" s="5" t="s">
        <v>710</v>
      </c>
      <c r="B428" s="5" t="s">
        <v>665</v>
      </c>
      <c r="C428" s="38" t="s">
        <v>713</v>
      </c>
      <c r="D428" s="8">
        <f t="shared" si="39"/>
        <v>7200.39</v>
      </c>
      <c r="E428" s="9">
        <f t="shared" si="39"/>
        <v>9490</v>
      </c>
      <c r="F428" s="29">
        <f t="shared" si="35"/>
        <v>0.31798416474663171</v>
      </c>
      <c r="G428" s="31">
        <f t="shared" si="36"/>
        <v>0.24126554267650158</v>
      </c>
      <c r="H428" s="31" t="e">
        <f>VLOOKUP(C428,'Maestro de Productos'!$G:$H,2,0)</f>
        <v>#N/A</v>
      </c>
      <c r="I428" s="31"/>
      <c r="J428" s="10">
        <f t="shared" si="37"/>
        <v>9395.1</v>
      </c>
      <c r="K428" s="31">
        <f t="shared" si="34"/>
        <v>0.23360155825909246</v>
      </c>
      <c r="L428" s="32"/>
    </row>
    <row r="429" spans="1:12" ht="13" x14ac:dyDescent="0.3">
      <c r="A429" s="5" t="s">
        <v>714</v>
      </c>
      <c r="B429" s="5" t="s">
        <v>665</v>
      </c>
      <c r="C429" s="38" t="s">
        <v>715</v>
      </c>
      <c r="D429" s="8">
        <v>192</v>
      </c>
      <c r="E429" s="9">
        <v>250</v>
      </c>
      <c r="F429" s="29">
        <f t="shared" si="35"/>
        <v>0.30208333333333326</v>
      </c>
      <c r="G429" s="31">
        <f t="shared" si="36"/>
        <v>0.23199999999999998</v>
      </c>
      <c r="H429" s="31" t="e">
        <f>VLOOKUP(C429,'Maestro de Productos'!$G:$H,2,0)</f>
        <v>#N/A</v>
      </c>
      <c r="I429" s="31"/>
      <c r="J429" s="10">
        <f t="shared" si="37"/>
        <v>247.5</v>
      </c>
      <c r="K429" s="31">
        <f t="shared" si="34"/>
        <v>0.22424242424242424</v>
      </c>
      <c r="L429" s="32"/>
    </row>
    <row r="430" spans="1:12" ht="13" x14ac:dyDescent="0.3">
      <c r="A430" s="5" t="s">
        <v>714</v>
      </c>
      <c r="B430" s="5" t="s">
        <v>665</v>
      </c>
      <c r="C430" s="38" t="s">
        <v>716</v>
      </c>
      <c r="D430" s="8">
        <v>113</v>
      </c>
      <c r="E430" s="9">
        <v>150</v>
      </c>
      <c r="F430" s="29">
        <f t="shared" si="35"/>
        <v>0.32743362831858414</v>
      </c>
      <c r="G430" s="31">
        <f t="shared" si="36"/>
        <v>0.2466666666666667</v>
      </c>
      <c r="H430" s="31" t="e">
        <f>VLOOKUP(C430,'Maestro de Productos'!$G:$H,2,0)</f>
        <v>#N/A</v>
      </c>
      <c r="I430" s="31"/>
      <c r="J430" s="10">
        <f t="shared" si="37"/>
        <v>148.5</v>
      </c>
      <c r="K430" s="31">
        <f t="shared" si="34"/>
        <v>0.23905723905723908</v>
      </c>
      <c r="L430" s="32"/>
    </row>
    <row r="431" spans="1:12" ht="13" x14ac:dyDescent="0.3">
      <c r="A431" s="5" t="s">
        <v>717</v>
      </c>
      <c r="B431" s="5" t="s">
        <v>665</v>
      </c>
      <c r="C431" s="38" t="s">
        <v>718</v>
      </c>
      <c r="D431" s="8">
        <f>405</f>
        <v>405</v>
      </c>
      <c r="E431" s="9">
        <v>490</v>
      </c>
      <c r="F431" s="29">
        <f t="shared" si="35"/>
        <v>0.20987654320987659</v>
      </c>
      <c r="G431" s="31">
        <f t="shared" si="36"/>
        <v>0.17346938775510201</v>
      </c>
      <c r="H431" s="31" t="e">
        <f>VLOOKUP(C431,'Maestro de Productos'!$G:$H,2,0)</f>
        <v>#N/A</v>
      </c>
      <c r="I431" s="31"/>
      <c r="J431" s="10">
        <f t="shared" si="37"/>
        <v>485.1</v>
      </c>
      <c r="K431" s="31">
        <f t="shared" si="34"/>
        <v>0.16512059369202226</v>
      </c>
      <c r="L431" s="32"/>
    </row>
    <row r="432" spans="1:12" ht="13" x14ac:dyDescent="0.3">
      <c r="A432" s="5" t="s">
        <v>667</v>
      </c>
      <c r="B432" s="5" t="s">
        <v>665</v>
      </c>
      <c r="C432" s="36" t="s">
        <v>595</v>
      </c>
      <c r="D432" s="8">
        <f>[1]Stock!G$432+D69</f>
        <v>4310.99</v>
      </c>
      <c r="E432" s="9">
        <f>[1]Stock!H$432+E69</f>
        <v>5790</v>
      </c>
      <c r="F432" s="29">
        <f t="shared" si="35"/>
        <v>0.34307896794007875</v>
      </c>
      <c r="G432" s="31">
        <f t="shared" si="36"/>
        <v>0.25544214162348877</v>
      </c>
      <c r="H432" s="31" t="str">
        <f>VLOOKUP(C432,'Maestro de Productos'!$G:$H,2,0)</f>
        <v>1x750</v>
      </c>
      <c r="I432" s="31"/>
      <c r="J432" s="10">
        <f t="shared" si="37"/>
        <v>5732.1</v>
      </c>
      <c r="K432" s="31">
        <f t="shared" si="34"/>
        <v>0.24792135517524128</v>
      </c>
      <c r="L432" s="32"/>
    </row>
    <row r="433" spans="1:12" ht="13" x14ac:dyDescent="0.3">
      <c r="A433" s="5" t="s">
        <v>667</v>
      </c>
      <c r="B433" s="5" t="s">
        <v>665</v>
      </c>
      <c r="C433" s="36" t="s">
        <v>596</v>
      </c>
      <c r="D433" s="8">
        <f>[1]Stock!G$432+D42</f>
        <v>3688.19</v>
      </c>
      <c r="E433" s="9">
        <f>[1]Stock!H$432+E42</f>
        <v>5890</v>
      </c>
      <c r="F433" s="29">
        <f t="shared" si="35"/>
        <v>0.59698930911910719</v>
      </c>
      <c r="G433" s="31">
        <f t="shared" si="36"/>
        <v>0.37382173174872668</v>
      </c>
      <c r="H433" s="31" t="str">
        <f>VLOOKUP(C433,'Maestro de Productos'!$G:$H,2,0)</f>
        <v>1x750</v>
      </c>
      <c r="I433" s="31"/>
      <c r="J433" s="10">
        <f t="shared" si="37"/>
        <v>5831.1</v>
      </c>
      <c r="K433" s="31">
        <f t="shared" si="34"/>
        <v>0.36749669873608759</v>
      </c>
      <c r="L433" s="32"/>
    </row>
    <row r="434" spans="1:12" ht="13" x14ac:dyDescent="0.3">
      <c r="A434" s="5" t="s">
        <v>667</v>
      </c>
      <c r="B434" s="5" t="s">
        <v>665</v>
      </c>
      <c r="C434" s="36" t="s">
        <v>597</v>
      </c>
      <c r="D434" s="8">
        <f>[1]Stock!G$432+D103</f>
        <v>4229.1817355371904</v>
      </c>
      <c r="E434" s="9">
        <f>[1]Stock!H$432+E103</f>
        <v>5590</v>
      </c>
      <c r="F434" s="29">
        <f t="shared" si="35"/>
        <v>0.32176868944364689</v>
      </c>
      <c r="G434" s="31">
        <f t="shared" si="36"/>
        <v>0.24343797217581564</v>
      </c>
      <c r="H434" s="31" t="str">
        <f>VLOOKUP(C434,'Maestro de Productos'!$G:$H,2,0)</f>
        <v>1x750</v>
      </c>
      <c r="I434" s="31"/>
      <c r="J434" s="10">
        <f t="shared" si="37"/>
        <v>5534.1</v>
      </c>
      <c r="K434" s="31">
        <f t="shared" si="34"/>
        <v>0.23579593149072298</v>
      </c>
      <c r="L434" s="32"/>
    </row>
    <row r="435" spans="1:12" ht="13" x14ac:dyDescent="0.3">
      <c r="A435" s="5" t="s">
        <v>667</v>
      </c>
      <c r="B435" s="5" t="s">
        <v>665</v>
      </c>
      <c r="C435" s="36" t="s">
        <v>598</v>
      </c>
      <c r="D435" s="8">
        <f>[1]Stock!G$432+D47</f>
        <v>8528.19</v>
      </c>
      <c r="E435" s="9">
        <f>[1]Stock!H$432+E47</f>
        <v>11890</v>
      </c>
      <c r="F435" s="29">
        <f t="shared" si="35"/>
        <v>0.39419970708907748</v>
      </c>
      <c r="G435" s="31">
        <f t="shared" si="36"/>
        <v>0.28274264087468459</v>
      </c>
      <c r="H435" s="31" t="str">
        <f>VLOOKUP(C435,'Maestro de Productos'!$G:$H,2,0)</f>
        <v>1x750</v>
      </c>
      <c r="I435" s="31"/>
      <c r="J435" s="10">
        <f t="shared" si="37"/>
        <v>11771.1</v>
      </c>
      <c r="K435" s="31">
        <f t="shared" si="34"/>
        <v>0.27549761704513598</v>
      </c>
      <c r="L435" s="32"/>
    </row>
    <row r="436" spans="1:12" ht="13" x14ac:dyDescent="0.3">
      <c r="A436" s="5" t="s">
        <v>667</v>
      </c>
      <c r="B436" s="5" t="s">
        <v>665</v>
      </c>
      <c r="C436" s="36" t="s">
        <v>599</v>
      </c>
      <c r="D436" s="8">
        <f>[1]Stock!G$432+D48</f>
        <v>7923.1900000000005</v>
      </c>
      <c r="E436" s="9">
        <f>[1]Stock!H$432+E48</f>
        <v>11890</v>
      </c>
      <c r="F436" s="29">
        <f t="shared" si="35"/>
        <v>0.50065819448984561</v>
      </c>
      <c r="G436" s="31">
        <f t="shared" si="36"/>
        <v>0.33362573591253153</v>
      </c>
      <c r="H436" s="31" t="str">
        <f>VLOOKUP(C436,'Maestro de Productos'!$G:$H,2,0)</f>
        <v>1x750</v>
      </c>
      <c r="I436" s="31"/>
      <c r="J436" s="10">
        <f t="shared" si="37"/>
        <v>11771.1</v>
      </c>
      <c r="K436" s="31">
        <f t="shared" si="34"/>
        <v>0.32689468273993083</v>
      </c>
      <c r="L436" s="32"/>
    </row>
    <row r="437" spans="1:12" ht="13" x14ac:dyDescent="0.3">
      <c r="A437" s="5" t="s">
        <v>667</v>
      </c>
      <c r="B437" s="5" t="s">
        <v>665</v>
      </c>
      <c r="C437" s="36" t="s">
        <v>600</v>
      </c>
      <c r="D437" s="8">
        <f>[1]Stock!G$432+D49</f>
        <v>10018.19</v>
      </c>
      <c r="E437" s="9">
        <f>[1]Stock!H$432+E49</f>
        <v>15800</v>
      </c>
      <c r="F437" s="29">
        <f t="shared" si="35"/>
        <v>0.57713119835020099</v>
      </c>
      <c r="G437" s="31">
        <f t="shared" si="36"/>
        <v>0.36593734177215187</v>
      </c>
      <c r="H437" s="31" t="str">
        <f>VLOOKUP(C437,'Maestro de Productos'!$G:$H,2,0)</f>
        <v>1x750</v>
      </c>
      <c r="I437" s="31"/>
      <c r="J437" s="10">
        <f t="shared" si="37"/>
        <v>15642</v>
      </c>
      <c r="K437" s="31">
        <f t="shared" si="34"/>
        <v>0.35953266845671905</v>
      </c>
      <c r="L437" s="32"/>
    </row>
    <row r="438" spans="1:12" ht="13" x14ac:dyDescent="0.3">
      <c r="A438" s="5" t="s">
        <v>667</v>
      </c>
      <c r="B438" s="5" t="s">
        <v>665</v>
      </c>
      <c r="C438" s="36" t="s">
        <v>601</v>
      </c>
      <c r="D438" s="8">
        <f>[1]Stock!G$433+D35+D37</f>
        <v>5121.58</v>
      </c>
      <c r="E438" s="9">
        <f>[1]Stock!H$433+E35+E37</f>
        <v>6980</v>
      </c>
      <c r="F438" s="29">
        <f t="shared" si="35"/>
        <v>0.3628606797121201</v>
      </c>
      <c r="G438" s="31">
        <f t="shared" si="36"/>
        <v>0.26624928366762179</v>
      </c>
      <c r="H438" s="31" t="str">
        <f>VLOOKUP(C438,'Maestro de Productos'!$G:$H,2,0)</f>
        <v>2x750</v>
      </c>
      <c r="I438" s="31"/>
      <c r="J438" s="10">
        <f t="shared" si="37"/>
        <v>6910.2</v>
      </c>
      <c r="K438" s="31">
        <f t="shared" si="34"/>
        <v>0.25883766027032507</v>
      </c>
      <c r="L438" s="32"/>
    </row>
    <row r="439" spans="1:12" ht="13" x14ac:dyDescent="0.3">
      <c r="A439" s="5" t="s">
        <v>667</v>
      </c>
      <c r="B439" s="5" t="s">
        <v>665</v>
      </c>
      <c r="C439" s="36" t="s">
        <v>603</v>
      </c>
      <c r="D439" s="8">
        <f>[1]Stock!G$433+D39+D42</f>
        <v>5255.58</v>
      </c>
      <c r="E439" s="9">
        <f>[1]Stock!H$433+E39+E42</f>
        <v>8080</v>
      </c>
      <c r="F439" s="29">
        <f t="shared" si="35"/>
        <v>0.53741356805528606</v>
      </c>
      <c r="G439" s="31">
        <f t="shared" si="36"/>
        <v>0.34955693069306937</v>
      </c>
      <c r="H439" s="31" t="str">
        <f>VLOOKUP(C439,'Maestro de Productos'!$G:$H,2,0)</f>
        <v>2x750</v>
      </c>
      <c r="I439" s="31"/>
      <c r="J439" s="10">
        <f t="shared" si="37"/>
        <v>7999.2</v>
      </c>
      <c r="K439" s="31">
        <f t="shared" si="34"/>
        <v>0.34298679867986803</v>
      </c>
      <c r="L439" s="32"/>
    </row>
    <row r="440" spans="1:12" ht="13" x14ac:dyDescent="0.3">
      <c r="A440" s="5" t="s">
        <v>667</v>
      </c>
      <c r="B440" s="5" t="s">
        <v>665</v>
      </c>
      <c r="C440" s="36" t="s">
        <v>604</v>
      </c>
      <c r="D440" s="8">
        <f>[1]Stock!G$433+D42+D43</f>
        <v>6190.58</v>
      </c>
      <c r="E440" s="9">
        <f>[1]Stock!H$433+E42+E43</f>
        <v>10180</v>
      </c>
      <c r="F440" s="29">
        <f t="shared" si="35"/>
        <v>0.64443396256893548</v>
      </c>
      <c r="G440" s="31">
        <f t="shared" si="36"/>
        <v>0.39188801571709231</v>
      </c>
      <c r="H440" s="31" t="str">
        <f>VLOOKUP(C440,'Maestro de Productos'!$G:$H,2,0)</f>
        <v>2x750</v>
      </c>
      <c r="I440" s="31"/>
      <c r="J440" s="10">
        <f t="shared" si="37"/>
        <v>10078.200000000001</v>
      </c>
      <c r="K440" s="31">
        <f t="shared" si="34"/>
        <v>0.38574547042130547</v>
      </c>
      <c r="L440" s="32"/>
    </row>
    <row r="441" spans="1:12" ht="13" x14ac:dyDescent="0.3">
      <c r="A441" s="5" t="s">
        <v>667</v>
      </c>
      <c r="B441" s="5" t="s">
        <v>665</v>
      </c>
      <c r="C441" s="36" t="s">
        <v>605</v>
      </c>
      <c r="D441" s="8">
        <f>[1]Stock!G$433+D42+D48</f>
        <v>10425.58</v>
      </c>
      <c r="E441" s="9">
        <f>[1]Stock!H$433+E42+E48</f>
        <v>16180</v>
      </c>
      <c r="F441" s="29">
        <f t="shared" si="35"/>
        <v>0.55195202569065693</v>
      </c>
      <c r="G441" s="31">
        <f t="shared" si="36"/>
        <v>0.35565018541409144</v>
      </c>
      <c r="H441" s="31" t="str">
        <f>VLOOKUP(C441,'Maestro de Productos'!$G:$H,2,0)</f>
        <v>2x750</v>
      </c>
      <c r="I441" s="31"/>
      <c r="J441" s="10">
        <f t="shared" si="37"/>
        <v>16018.2</v>
      </c>
      <c r="K441" s="31">
        <f t="shared" si="34"/>
        <v>0.34914160142837525</v>
      </c>
      <c r="L441" s="32"/>
    </row>
    <row r="442" spans="1:12" ht="13" x14ac:dyDescent="0.3">
      <c r="A442" s="5" t="s">
        <v>667</v>
      </c>
      <c r="B442" s="5" t="s">
        <v>665</v>
      </c>
      <c r="C442" s="36" t="s">
        <v>606</v>
      </c>
      <c r="D442" s="8">
        <f>[1]Stock!G$433+D47+D48</f>
        <v>15265.58</v>
      </c>
      <c r="E442" s="9">
        <f>[1]Stock!H$433+E47+E48</f>
        <v>22180</v>
      </c>
      <c r="F442" s="29">
        <f t="shared" si="35"/>
        <v>0.4529418469524249</v>
      </c>
      <c r="G442" s="31">
        <f t="shared" si="36"/>
        <v>0.31174120829576191</v>
      </c>
      <c r="H442" s="31" t="str">
        <f>VLOOKUP(C442,'Maestro de Productos'!$G:$H,2,0)</f>
        <v>2x750</v>
      </c>
      <c r="I442" s="31"/>
      <c r="J442" s="10">
        <f t="shared" si="37"/>
        <v>21958.2</v>
      </c>
      <c r="K442" s="31">
        <f t="shared" si="34"/>
        <v>0.3047890992886485</v>
      </c>
      <c r="L442" s="32"/>
    </row>
    <row r="443" spans="1:12" ht="13" x14ac:dyDescent="0.3">
      <c r="A443" s="5" t="s">
        <v>667</v>
      </c>
      <c r="B443" s="5" t="s">
        <v>665</v>
      </c>
      <c r="C443" s="36" t="s">
        <v>607</v>
      </c>
      <c r="D443" s="8">
        <f>[1]Stock!G$433+D49+D48</f>
        <v>16755.580000000002</v>
      </c>
      <c r="E443" s="9">
        <f>[1]Stock!H$433+E49+E48</f>
        <v>26090</v>
      </c>
      <c r="F443" s="29">
        <f t="shared" si="35"/>
        <v>0.55709321909477305</v>
      </c>
      <c r="G443" s="31">
        <f t="shared" si="36"/>
        <v>0.35777769260252967</v>
      </c>
      <c r="H443" s="31" t="str">
        <f>VLOOKUP(C443,'Maestro de Productos'!$G:$H,2,0)</f>
        <v>2x750</v>
      </c>
      <c r="I443" s="31"/>
      <c r="J443" s="10">
        <f t="shared" si="37"/>
        <v>25829.1</v>
      </c>
      <c r="K443" s="31">
        <f t="shared" si="34"/>
        <v>0.35129059858841372</v>
      </c>
      <c r="L443" s="32"/>
    </row>
    <row r="444" spans="1:12" ht="13" x14ac:dyDescent="0.3">
      <c r="A444" s="5" t="s">
        <v>667</v>
      </c>
      <c r="B444" s="5" t="s">
        <v>665</v>
      </c>
      <c r="C444" s="36" t="s">
        <v>608</v>
      </c>
      <c r="D444" s="12">
        <f>[1]Stock!G$435+D39+D40+D41</f>
        <v>6800.75</v>
      </c>
      <c r="E444" s="9">
        <f>[1]Stock!H$435+E39+E40+E41</f>
        <v>9470</v>
      </c>
      <c r="F444" s="29">
        <f t="shared" si="35"/>
        <v>0.3924934749843767</v>
      </c>
      <c r="G444" s="31">
        <f t="shared" si="36"/>
        <v>0.28186378035902848</v>
      </c>
      <c r="H444" s="31" t="str">
        <f>VLOOKUP(C444,'Maestro de Productos'!$G:$H,2,0)</f>
        <v>3x750</v>
      </c>
      <c r="I444" s="31"/>
      <c r="J444" s="10">
        <f t="shared" si="37"/>
        <v>9375.2999999999993</v>
      </c>
      <c r="K444" s="31">
        <f t="shared" si="34"/>
        <v>0.27460987915053381</v>
      </c>
      <c r="L444" s="32"/>
    </row>
    <row r="445" spans="1:12" ht="13" x14ac:dyDescent="0.3">
      <c r="A445" s="5" t="s">
        <v>667</v>
      </c>
      <c r="B445" s="5" t="s">
        <v>665</v>
      </c>
      <c r="C445" s="36" t="s">
        <v>609</v>
      </c>
      <c r="D445" s="8">
        <f>[1]Stock!G$435+D35+D36+D37</f>
        <v>7664.75</v>
      </c>
      <c r="E445" s="9">
        <f>[1]Stock!H$435+E35+E36+E37</f>
        <v>10470</v>
      </c>
      <c r="F445" s="29">
        <f t="shared" si="35"/>
        <v>0.36599367233112634</v>
      </c>
      <c r="G445" s="31">
        <f t="shared" si="36"/>
        <v>0.26793218720152823</v>
      </c>
      <c r="H445" s="31" t="str">
        <f>VLOOKUP(C445,'Maestro de Productos'!$G:$H,2,0)</f>
        <v>3x750</v>
      </c>
      <c r="I445" s="31"/>
      <c r="J445" s="10">
        <f t="shared" si="37"/>
        <v>10365.299999999999</v>
      </c>
      <c r="K445" s="31">
        <f t="shared" si="34"/>
        <v>0.26053756282982643</v>
      </c>
      <c r="L445" s="32"/>
    </row>
    <row r="446" spans="1:12" ht="13" x14ac:dyDescent="0.3">
      <c r="A446" s="5" t="s">
        <v>667</v>
      </c>
      <c r="B446" s="5" t="s">
        <v>665</v>
      </c>
      <c r="C446" s="38" t="s">
        <v>719</v>
      </c>
      <c r="D446" s="12">
        <f>[1]Stock!G$435+D111+D187+D66</f>
        <v>8576.0575041322318</v>
      </c>
      <c r="E446" s="9">
        <f>[1]Stock!H$435+E111+E187+E66</f>
        <v>11970</v>
      </c>
      <c r="F446" s="29">
        <f t="shared" si="35"/>
        <v>0.39574623820239707</v>
      </c>
      <c r="G446" s="31">
        <f t="shared" si="36"/>
        <v>0.2835373847842747</v>
      </c>
      <c r="H446" s="31" t="e">
        <f>VLOOKUP(C446,'Maestro de Productos'!$G:$H,2,0)</f>
        <v>#N/A</v>
      </c>
      <c r="I446" s="31"/>
      <c r="J446" s="10">
        <f t="shared" si="37"/>
        <v>11850.3</v>
      </c>
      <c r="K446" s="31">
        <f t="shared" si="34"/>
        <v>0.2763003886709845</v>
      </c>
      <c r="L446" s="32"/>
    </row>
    <row r="447" spans="1:12" ht="13" x14ac:dyDescent="0.3">
      <c r="A447" s="5" t="s">
        <v>667</v>
      </c>
      <c r="B447" s="5" t="s">
        <v>665</v>
      </c>
      <c r="C447" s="36" t="s">
        <v>611</v>
      </c>
      <c r="D447" s="8">
        <f>[1]Stock!G$435+D42+D43+D44</f>
        <v>9440.75</v>
      </c>
      <c r="E447" s="9">
        <f>[1]Stock!H$435+E42+E43+E44</f>
        <v>15470</v>
      </c>
      <c r="F447" s="29">
        <f t="shared" si="35"/>
        <v>0.6386409978020815</v>
      </c>
      <c r="G447" s="31">
        <f t="shared" si="36"/>
        <v>0.38973820297349704</v>
      </c>
      <c r="H447" s="31" t="str">
        <f>VLOOKUP(C447,'Maestro de Productos'!$G:$H,2,0)</f>
        <v>3x750</v>
      </c>
      <c r="I447" s="31"/>
      <c r="J447" s="10">
        <f t="shared" si="37"/>
        <v>15315.3</v>
      </c>
      <c r="K447" s="31">
        <f t="shared" si="34"/>
        <v>0.38357394239747178</v>
      </c>
      <c r="L447" s="32"/>
    </row>
    <row r="448" spans="1:12" ht="13" x14ac:dyDescent="0.3">
      <c r="A448" s="5" t="s">
        <v>667</v>
      </c>
      <c r="B448" s="5" t="s">
        <v>665</v>
      </c>
      <c r="C448" s="36" t="s">
        <v>612</v>
      </c>
      <c r="D448" s="12">
        <f>[1]Stock!G$435+D61+D69+D103</f>
        <v>10436.359917355372</v>
      </c>
      <c r="E448" s="9">
        <f>[1]Stock!H$435+E61+E69+E103</f>
        <v>14070</v>
      </c>
      <c r="F448" s="29">
        <f t="shared" si="35"/>
        <v>0.34817121212943092</v>
      </c>
      <c r="G448" s="31">
        <f t="shared" si="36"/>
        <v>0.2582544479491562</v>
      </c>
      <c r="H448" s="31" t="str">
        <f>VLOOKUP(C448,'Maestro de Productos'!$G:$H,2,0)</f>
        <v>3x750</v>
      </c>
      <c r="I448" s="31"/>
      <c r="J448" s="10">
        <f t="shared" si="37"/>
        <v>13929.3</v>
      </c>
      <c r="K448" s="31">
        <f t="shared" si="34"/>
        <v>0.25076206863551131</v>
      </c>
      <c r="L448" s="32"/>
    </row>
    <row r="449" spans="1:12" ht="13" x14ac:dyDescent="0.3">
      <c r="A449" s="5" t="s">
        <v>667</v>
      </c>
      <c r="B449" s="5" t="s">
        <v>665</v>
      </c>
      <c r="C449" s="36" t="s">
        <v>613</v>
      </c>
      <c r="D449" s="8">
        <f>[1]Stock!G$435+D47+D48+D49</f>
        <v>24845.75</v>
      </c>
      <c r="E449" s="9">
        <f>[1]Stock!H$435+E47+E48+E49</f>
        <v>37380</v>
      </c>
      <c r="F449" s="29">
        <f t="shared" si="35"/>
        <v>0.50448265799985914</v>
      </c>
      <c r="G449" s="31">
        <f t="shared" si="36"/>
        <v>0.33531968967362225</v>
      </c>
      <c r="H449" s="31" t="str">
        <f>VLOOKUP(C449,'Maestro de Productos'!$G:$H,2,0)</f>
        <v>3x750</v>
      </c>
      <c r="I449" s="31"/>
      <c r="J449" s="10">
        <f t="shared" si="37"/>
        <v>37006.199999999997</v>
      </c>
      <c r="K449" s="31">
        <f t="shared" si="34"/>
        <v>0.32860574714507296</v>
      </c>
      <c r="L449" s="32"/>
    </row>
    <row r="450" spans="1:12" ht="25.5" x14ac:dyDescent="0.3">
      <c r="A450" s="5" t="s">
        <v>667</v>
      </c>
      <c r="B450" s="5" t="s">
        <v>665</v>
      </c>
      <c r="C450" s="39" t="s">
        <v>720</v>
      </c>
      <c r="D450" s="8">
        <f>2500+D47+D48+D49+D272+D313+D375</f>
        <v>56756.957999999999</v>
      </c>
      <c r="E450" s="9">
        <f>5000+E47+E48+E49+E272+E313+E375</f>
        <v>69860</v>
      </c>
      <c r="F450" s="29">
        <f t="shared" si="35"/>
        <v>0.23086230238061733</v>
      </c>
      <c r="G450" s="31">
        <f t="shared" si="36"/>
        <v>0.18756143716003437</v>
      </c>
      <c r="H450" s="31" t="e">
        <f>VLOOKUP(C450,'Maestro de Productos'!$G:$H,2,0)</f>
        <v>#N/A</v>
      </c>
      <c r="I450" s="31"/>
      <c r="J450" s="10">
        <f t="shared" si="37"/>
        <v>69161.399999999994</v>
      </c>
      <c r="K450" s="31">
        <f t="shared" ref="K450:K513" si="40">IFERROR(1-D450/J450,0)</f>
        <v>0.1793549870303377</v>
      </c>
      <c r="L450" s="32"/>
    </row>
  </sheetData>
  <autoFilter ref="A1:H45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96"/>
  <sheetViews>
    <sheetView tabSelected="1" zoomScaleNormal="100" zoomScaleSheetLayoutView="100" workbookViewId="0">
      <pane ySplit="1" topLeftCell="A2" activePane="bottomLeft" state="frozen"/>
      <selection activeCell="D402" sqref="D402"/>
      <selection pane="bottomLeft" activeCell="E6" sqref="E6"/>
    </sheetView>
  </sheetViews>
  <sheetFormatPr baseColWidth="10" defaultColWidth="11.453125" defaultRowHeight="12.5" x14ac:dyDescent="0.25"/>
  <cols>
    <col min="1" max="1" width="18.1796875" bestFit="1" customWidth="1"/>
    <col min="2" max="2" width="15.26953125" bestFit="1" customWidth="1"/>
    <col min="3" max="4" width="20.453125" bestFit="1" customWidth="1"/>
    <col min="5" max="5" width="24.7265625" bestFit="1" customWidth="1"/>
    <col min="6" max="6" width="17.54296875" customWidth="1"/>
    <col min="7" max="7" width="55" customWidth="1"/>
    <col min="8" max="8" width="18.453125" style="17" bestFit="1" customWidth="1"/>
    <col min="9" max="9" width="21.7265625" style="18" hidden="1" customWidth="1"/>
    <col min="10" max="10" width="19.26953125" style="18" bestFit="1" customWidth="1"/>
    <col min="11" max="11" width="24.26953125" style="18" bestFit="1" customWidth="1"/>
    <col min="12" max="13" width="11.81640625" bestFit="1" customWidth="1"/>
    <col min="14" max="14" width="18.54296875" customWidth="1"/>
    <col min="15" max="17" width="17.81640625" bestFit="1" customWidth="1"/>
    <col min="18" max="18" width="17.453125" bestFit="1" customWidth="1"/>
  </cols>
  <sheetData>
    <row r="1" spans="1:18" ht="13" x14ac:dyDescent="0.3">
      <c r="A1" s="1" t="s">
        <v>0</v>
      </c>
      <c r="B1" s="1" t="s">
        <v>1</v>
      </c>
      <c r="C1" s="1" t="s">
        <v>2</v>
      </c>
      <c r="D1" s="1" t="s">
        <v>620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3" t="s">
        <v>8</v>
      </c>
      <c r="K1" s="3" t="s">
        <v>9</v>
      </c>
      <c r="N1" s="4" t="s">
        <v>631</v>
      </c>
      <c r="O1" s="4" t="s">
        <v>632</v>
      </c>
      <c r="P1" s="4" t="s">
        <v>633</v>
      </c>
      <c r="Q1" s="4" t="s">
        <v>634</v>
      </c>
      <c r="R1" s="4" t="s">
        <v>635</v>
      </c>
    </row>
    <row r="2" spans="1:18" ht="13" x14ac:dyDescent="0.3">
      <c r="A2" s="5" t="s">
        <v>10</v>
      </c>
      <c r="B2" s="43" t="s">
        <v>19</v>
      </c>
      <c r="C2" s="5" t="s">
        <v>776</v>
      </c>
      <c r="D2" s="5" t="s">
        <v>13</v>
      </c>
      <c r="E2" s="5" t="s">
        <v>14</v>
      </c>
      <c r="F2" s="5" t="str" cm="1">
        <f t="array" ref="F2">_xlfn.IFS(J2&lt;750,$N$3,J2&lt;2000,$N$4,J2&lt;4000,$N$5,J2&gt;4000,$N$6)</f>
        <v>$0 - $750</v>
      </c>
      <c r="G2" s="6" t="s">
        <v>777</v>
      </c>
      <c r="H2" s="7" t="s">
        <v>15</v>
      </c>
      <c r="I2" s="8">
        <v>468</v>
      </c>
      <c r="J2" s="9">
        <v>690</v>
      </c>
      <c r="K2" s="9">
        <v>621</v>
      </c>
      <c r="L2" s="10"/>
      <c r="M2" s="10"/>
      <c r="N2" s="5" t="s">
        <v>16</v>
      </c>
      <c r="O2" s="5" t="s">
        <v>638</v>
      </c>
      <c r="P2" s="5" t="s">
        <v>638</v>
      </c>
      <c r="Q2" s="5" t="s">
        <v>638</v>
      </c>
      <c r="R2" s="5" t="s">
        <v>638</v>
      </c>
    </row>
    <row r="3" spans="1:18" ht="13" x14ac:dyDescent="0.3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tr" cm="1">
        <f t="array" ref="F3">_xlfn.IFS(J3&lt;750,$N$3,J3&lt;2000,$N$4,J3&lt;4000,$N$5,J3&gt;4000,$N$6)</f>
        <v>$0 - $750</v>
      </c>
      <c r="G3" s="6" t="s">
        <v>643</v>
      </c>
      <c r="H3" s="7" t="s">
        <v>15</v>
      </c>
      <c r="I3" s="8">
        <v>468</v>
      </c>
      <c r="J3" s="9">
        <v>690</v>
      </c>
      <c r="K3" s="9">
        <v>621</v>
      </c>
      <c r="L3" s="10"/>
      <c r="M3" s="10"/>
      <c r="N3" s="5" t="s">
        <v>16</v>
      </c>
      <c r="O3" s="5" t="s">
        <v>638</v>
      </c>
      <c r="P3" s="5" t="s">
        <v>638</v>
      </c>
      <c r="Q3" s="5" t="s">
        <v>638</v>
      </c>
      <c r="R3" s="5" t="s">
        <v>638</v>
      </c>
    </row>
    <row r="4" spans="1:18" ht="13" x14ac:dyDescent="0.3">
      <c r="A4" s="5" t="s">
        <v>10</v>
      </c>
      <c r="B4" s="5" t="s">
        <v>11</v>
      </c>
      <c r="C4" s="5" t="s">
        <v>17</v>
      </c>
      <c r="D4" s="5" t="s">
        <v>13</v>
      </c>
      <c r="E4" s="5" t="s">
        <v>14</v>
      </c>
      <c r="F4" s="5" t="str" cm="1">
        <f t="array" ref="F4">_xlfn.IFS(J4&lt;750,$N$3,J4&lt;2000,$N$4,J4&lt;4000,$N$5,J4&gt;4000,$N$6)</f>
        <v>$0 - $750</v>
      </c>
      <c r="G4" s="6" t="s">
        <v>18</v>
      </c>
      <c r="H4" s="7" t="s">
        <v>15</v>
      </c>
      <c r="I4" s="8">
        <v>481</v>
      </c>
      <c r="J4" s="9">
        <v>690</v>
      </c>
      <c r="K4" s="9">
        <v>621</v>
      </c>
      <c r="L4" s="10"/>
      <c r="M4" s="11"/>
      <c r="N4" s="5" t="s">
        <v>640</v>
      </c>
      <c r="O4" s="5" t="s">
        <v>639</v>
      </c>
      <c r="P4" s="5" t="s">
        <v>639</v>
      </c>
      <c r="Q4" s="5" t="s">
        <v>639</v>
      </c>
      <c r="R4" s="5" t="s">
        <v>639</v>
      </c>
    </row>
    <row r="5" spans="1:18" ht="13" x14ac:dyDescent="0.3">
      <c r="A5" s="5" t="s">
        <v>10</v>
      </c>
      <c r="B5" s="5" t="s">
        <v>19</v>
      </c>
      <c r="C5" s="5" t="s">
        <v>20</v>
      </c>
      <c r="D5" s="5" t="s">
        <v>13</v>
      </c>
      <c r="E5" s="5" t="s">
        <v>21</v>
      </c>
      <c r="F5" s="5" t="str" cm="1">
        <f t="array" ref="F5">_xlfn.IFS(J5&lt;750,$N$3,J5&lt;2000,$N$4,J5&lt;4000,$N$5,J5&gt;4000,$N$6)</f>
        <v>$750 - $2.000</v>
      </c>
      <c r="G5" s="4" t="s">
        <v>644</v>
      </c>
      <c r="H5" s="7" t="s">
        <v>15</v>
      </c>
      <c r="I5" s="8">
        <v>1062</v>
      </c>
      <c r="J5" s="9">
        <v>1550</v>
      </c>
      <c r="K5" s="9">
        <v>1395</v>
      </c>
      <c r="L5" s="10"/>
      <c r="N5" s="5" t="s">
        <v>641</v>
      </c>
      <c r="O5" s="5" t="s">
        <v>637</v>
      </c>
      <c r="P5" s="5" t="s">
        <v>637</v>
      </c>
      <c r="Q5" s="5" t="s">
        <v>637</v>
      </c>
      <c r="R5" s="5" t="s">
        <v>637</v>
      </c>
    </row>
    <row r="6" spans="1:18" ht="13" x14ac:dyDescent="0.3">
      <c r="A6" s="5" t="s">
        <v>10</v>
      </c>
      <c r="B6" s="5" t="s">
        <v>19</v>
      </c>
      <c r="C6" s="5" t="s">
        <v>776</v>
      </c>
      <c r="D6" s="5" t="s">
        <v>13</v>
      </c>
      <c r="E6" s="5" t="s">
        <v>21</v>
      </c>
      <c r="F6" s="5" t="str" cm="1">
        <f t="array" ref="F6">_xlfn.IFS(J6&lt;750,$N$3,J6&lt;2000,$N$4,J6&lt;4000,$N$5,J6&gt;4000,$N$6)</f>
        <v>$750 - $2.000</v>
      </c>
      <c r="G6" s="4" t="s">
        <v>645</v>
      </c>
      <c r="H6" s="7" t="s">
        <v>15</v>
      </c>
      <c r="I6" s="8">
        <v>734</v>
      </c>
      <c r="J6" s="9">
        <v>1100</v>
      </c>
      <c r="K6" s="9">
        <v>990</v>
      </c>
      <c r="L6" s="10"/>
      <c r="N6" s="5" t="s">
        <v>642</v>
      </c>
      <c r="O6" s="5" t="s">
        <v>636</v>
      </c>
      <c r="P6" s="5" t="s">
        <v>636</v>
      </c>
      <c r="Q6" s="5" t="s">
        <v>636</v>
      </c>
      <c r="R6" s="5" t="s">
        <v>636</v>
      </c>
    </row>
    <row r="7" spans="1:18" ht="13" x14ac:dyDescent="0.3">
      <c r="A7" s="5" t="s">
        <v>10</v>
      </c>
      <c r="B7" s="5" t="s">
        <v>11</v>
      </c>
      <c r="C7" s="5" t="s">
        <v>23</v>
      </c>
      <c r="D7" s="5" t="s">
        <v>13</v>
      </c>
      <c r="E7" s="5" t="s">
        <v>21</v>
      </c>
      <c r="F7" s="5" t="str" cm="1">
        <f t="array" ref="F7">_xlfn.IFS(J7&lt;750,$N$3,J7&lt;2000,$N$4,J7&lt;4000,$N$5,J7&gt;4000,$N$6)</f>
        <v>$750 - $2.000</v>
      </c>
      <c r="G7" s="6" t="s">
        <v>646</v>
      </c>
      <c r="H7" s="7" t="s">
        <v>15</v>
      </c>
      <c r="I7" s="8">
        <v>839</v>
      </c>
      <c r="J7" s="9">
        <v>1220</v>
      </c>
      <c r="K7" s="9">
        <v>1098</v>
      </c>
      <c r="L7" s="10"/>
    </row>
    <row r="8" spans="1:18" ht="13" x14ac:dyDescent="0.3">
      <c r="A8" s="5" t="s">
        <v>10</v>
      </c>
      <c r="B8" s="5" t="s">
        <v>11</v>
      </c>
      <c r="C8" s="5" t="s">
        <v>12</v>
      </c>
      <c r="D8" s="5" t="s">
        <v>13</v>
      </c>
      <c r="E8" s="5" t="s">
        <v>21</v>
      </c>
      <c r="F8" s="5" t="str" cm="1">
        <f t="array" ref="F8">_xlfn.IFS(J8&lt;750,$N$3,J8&lt;2000,$N$4,J8&lt;4000,$N$5,J8&gt;4000,$N$6)</f>
        <v>$750 - $2.000</v>
      </c>
      <c r="G8" s="6" t="s">
        <v>647</v>
      </c>
      <c r="H8" s="7" t="s">
        <v>15</v>
      </c>
      <c r="I8" s="8">
        <v>1225</v>
      </c>
      <c r="J8" s="9">
        <v>1770</v>
      </c>
      <c r="K8" s="9">
        <v>1593</v>
      </c>
      <c r="L8" s="10"/>
    </row>
    <row r="9" spans="1:18" ht="13" x14ac:dyDescent="0.3">
      <c r="A9" s="5" t="s">
        <v>10</v>
      </c>
      <c r="B9" s="5" t="s">
        <v>11</v>
      </c>
      <c r="C9" s="5" t="s">
        <v>24</v>
      </c>
      <c r="D9" s="5" t="s">
        <v>13</v>
      </c>
      <c r="E9" s="5" t="s">
        <v>21</v>
      </c>
      <c r="F9" s="5" t="str" cm="1">
        <f t="array" ref="F9">_xlfn.IFS(J9&lt;750,$N$3,J9&lt;2000,$N$4,J9&lt;4000,$N$5,J9&gt;4000,$N$6)</f>
        <v>$750 - $2.000</v>
      </c>
      <c r="G9" s="6" t="s">
        <v>648</v>
      </c>
      <c r="H9" s="7" t="s">
        <v>15</v>
      </c>
      <c r="I9" s="8">
        <v>1225</v>
      </c>
      <c r="J9" s="9">
        <v>1770</v>
      </c>
      <c r="K9" s="9">
        <v>1593</v>
      </c>
      <c r="L9" s="10"/>
    </row>
    <row r="10" spans="1:18" ht="13" x14ac:dyDescent="0.3">
      <c r="A10" s="5" t="s">
        <v>10</v>
      </c>
      <c r="B10" s="5" t="s">
        <v>11</v>
      </c>
      <c r="C10" s="5" t="s">
        <v>17</v>
      </c>
      <c r="D10" s="5" t="s">
        <v>13</v>
      </c>
      <c r="E10" s="5" t="s">
        <v>21</v>
      </c>
      <c r="F10" s="5" t="str" cm="1">
        <f t="array" ref="F10">_xlfn.IFS(J10&lt;750,$N$3,J10&lt;2000,$N$4,J10&lt;4000,$N$5,J10&gt;4000,$N$6)</f>
        <v>$2.000 a $4.000</v>
      </c>
      <c r="G10" s="6" t="s">
        <v>649</v>
      </c>
      <c r="H10" s="7" t="s">
        <v>15</v>
      </c>
      <c r="I10" s="8">
        <v>1470</v>
      </c>
      <c r="J10" s="9">
        <v>2100</v>
      </c>
      <c r="K10" s="9">
        <v>1890</v>
      </c>
      <c r="L10" s="10"/>
    </row>
    <row r="11" spans="1:18" ht="13" x14ac:dyDescent="0.3">
      <c r="A11" s="5" t="s">
        <v>10</v>
      </c>
      <c r="B11" s="5" t="s">
        <v>19</v>
      </c>
      <c r="C11" s="5" t="s">
        <v>20</v>
      </c>
      <c r="D11" s="5" t="s">
        <v>25</v>
      </c>
      <c r="E11" s="5" t="s">
        <v>26</v>
      </c>
      <c r="F11" s="5" t="str" cm="1">
        <f t="array" ref="F11">_xlfn.IFS(J11&lt;750,$N$3,J11&lt;2000,$N$4,J11&lt;4000,$N$5,J11&gt;4000,$N$6)</f>
        <v>$0 - $750</v>
      </c>
      <c r="G11" s="6" t="s">
        <v>27</v>
      </c>
      <c r="H11" s="7" t="s">
        <v>15</v>
      </c>
      <c r="I11" s="8">
        <v>385.12</v>
      </c>
      <c r="J11" s="9">
        <v>550</v>
      </c>
      <c r="K11" s="9">
        <v>495</v>
      </c>
      <c r="L11" s="10"/>
    </row>
    <row r="12" spans="1:18" ht="13" x14ac:dyDescent="0.3">
      <c r="A12" s="5" t="s">
        <v>10</v>
      </c>
      <c r="B12" s="5" t="s">
        <v>28</v>
      </c>
      <c r="C12" s="5" t="s">
        <v>393</v>
      </c>
      <c r="D12" s="5" t="s">
        <v>25</v>
      </c>
      <c r="E12" s="5" t="s">
        <v>26</v>
      </c>
      <c r="F12" s="5" t="str" cm="1">
        <f t="array" ref="F12">_xlfn.IFS(J12&lt;750,$N$3,J12&lt;2000,$N$4,J12&lt;4000,$N$5,J12&gt;4000,$N$6)</f>
        <v>$0 - $750</v>
      </c>
      <c r="G12" s="4" t="s">
        <v>29</v>
      </c>
      <c r="H12" s="7" t="s">
        <v>15</v>
      </c>
      <c r="I12" s="8">
        <v>385.12</v>
      </c>
      <c r="J12" s="9">
        <v>550</v>
      </c>
      <c r="K12" s="9">
        <v>495</v>
      </c>
      <c r="L12" s="10"/>
    </row>
    <row r="13" spans="1:18" ht="13" x14ac:dyDescent="0.3">
      <c r="A13" s="5" t="s">
        <v>10</v>
      </c>
      <c r="B13" s="5" t="s">
        <v>11</v>
      </c>
      <c r="C13" s="5" t="s">
        <v>12</v>
      </c>
      <c r="D13" s="5" t="s">
        <v>25</v>
      </c>
      <c r="E13" s="5" t="s">
        <v>26</v>
      </c>
      <c r="F13" s="5" t="str" cm="1">
        <f t="array" ref="F13">_xlfn.IFS(J13&lt;750,$N$3,J13&lt;2000,$N$4,J13&lt;4000,$N$5,J13&gt;4000,$N$6)</f>
        <v>$0 - $750</v>
      </c>
      <c r="G13" s="6" t="s">
        <v>733</v>
      </c>
      <c r="H13" s="7" t="s">
        <v>15</v>
      </c>
      <c r="I13" s="8">
        <v>385.12</v>
      </c>
      <c r="J13" s="9">
        <v>550</v>
      </c>
      <c r="K13" s="9">
        <v>495</v>
      </c>
      <c r="L13" s="10"/>
    </row>
    <row r="14" spans="1:18" ht="13" x14ac:dyDescent="0.3">
      <c r="A14" s="5" t="s">
        <v>10</v>
      </c>
      <c r="B14" s="5" t="s">
        <v>11</v>
      </c>
      <c r="C14" s="5" t="s">
        <v>17</v>
      </c>
      <c r="D14" s="5" t="s">
        <v>25</v>
      </c>
      <c r="E14" s="5" t="s">
        <v>26</v>
      </c>
      <c r="F14" s="5" t="str" cm="1">
        <f t="array" ref="F14">_xlfn.IFS(J14&lt;750,$N$3,J14&lt;2000,$N$4,J14&lt;4000,$N$5,J14&gt;4000,$N$6)</f>
        <v>$0 - $750</v>
      </c>
      <c r="G14" s="6" t="s">
        <v>31</v>
      </c>
      <c r="H14" s="7" t="s">
        <v>15</v>
      </c>
      <c r="I14" s="8">
        <v>385.12</v>
      </c>
      <c r="J14" s="9">
        <v>550</v>
      </c>
      <c r="K14" s="9">
        <v>495</v>
      </c>
      <c r="L14" s="10"/>
    </row>
    <row r="15" spans="1:18" ht="13" x14ac:dyDescent="0.3">
      <c r="A15" s="5" t="s">
        <v>10</v>
      </c>
      <c r="B15" s="5" t="s">
        <v>28</v>
      </c>
      <c r="C15" s="5" t="s">
        <v>393</v>
      </c>
      <c r="D15" s="5" t="s">
        <v>25</v>
      </c>
      <c r="E15" s="5" t="s">
        <v>32</v>
      </c>
      <c r="F15" s="5" t="str" cm="1">
        <f t="array" ref="F15">_xlfn.IFS(J15&lt;750,$N$3,J15&lt;2000,$N$4,J15&lt;4000,$N$5,J15&gt;4000,$N$6)</f>
        <v>$750 - $2.000</v>
      </c>
      <c r="G15" s="6" t="s">
        <v>33</v>
      </c>
      <c r="H15" s="7" t="s">
        <v>15</v>
      </c>
      <c r="I15" s="8">
        <v>846</v>
      </c>
      <c r="J15" s="9">
        <v>1220</v>
      </c>
      <c r="K15" s="9">
        <v>1098</v>
      </c>
      <c r="L15" s="10"/>
    </row>
    <row r="16" spans="1:18" ht="13" x14ac:dyDescent="0.3">
      <c r="A16" s="5" t="s">
        <v>10</v>
      </c>
      <c r="B16" s="5" t="s">
        <v>19</v>
      </c>
      <c r="C16" s="5" t="s">
        <v>20</v>
      </c>
      <c r="D16" s="5" t="s">
        <v>25</v>
      </c>
      <c r="E16" s="5" t="s">
        <v>32</v>
      </c>
      <c r="F16" s="5" t="str" cm="1">
        <f t="array" ref="F16">_xlfn.IFS(J16&lt;750,$N$3,J16&lt;2000,$N$4,J16&lt;4000,$N$5,J16&gt;4000,$N$6)</f>
        <v>$750 - $2.000</v>
      </c>
      <c r="G16" s="6" t="s">
        <v>34</v>
      </c>
      <c r="H16" s="7" t="s">
        <v>15</v>
      </c>
      <c r="I16" s="8">
        <v>635</v>
      </c>
      <c r="J16" s="9">
        <v>1030</v>
      </c>
      <c r="K16" s="9">
        <v>927</v>
      </c>
      <c r="L16" s="10"/>
    </row>
    <row r="17" spans="1:12" ht="13" x14ac:dyDescent="0.3">
      <c r="A17" s="5" t="s">
        <v>10</v>
      </c>
      <c r="B17" s="5" t="s">
        <v>11</v>
      </c>
      <c r="C17" s="5" t="s">
        <v>12</v>
      </c>
      <c r="D17" s="5" t="s">
        <v>25</v>
      </c>
      <c r="E17" s="5" t="s">
        <v>32</v>
      </c>
      <c r="F17" s="5" t="str" cm="1">
        <f t="array" ref="F17">_xlfn.IFS(J17&lt;750,$N$3,J17&lt;2000,$N$4,J17&lt;4000,$N$5,J17&gt;4000,$N$6)</f>
        <v>$750 - $2.000</v>
      </c>
      <c r="G17" s="6" t="s">
        <v>734</v>
      </c>
      <c r="H17" s="7" t="s">
        <v>15</v>
      </c>
      <c r="I17" s="8">
        <v>705</v>
      </c>
      <c r="J17" s="9">
        <v>1030</v>
      </c>
      <c r="K17" s="9">
        <v>927</v>
      </c>
      <c r="L17" s="10"/>
    </row>
    <row r="18" spans="1:12" ht="13" x14ac:dyDescent="0.3">
      <c r="A18" s="5" t="s">
        <v>10</v>
      </c>
      <c r="B18" s="5" t="s">
        <v>11</v>
      </c>
      <c r="C18" s="5" t="s">
        <v>17</v>
      </c>
      <c r="D18" s="5" t="s">
        <v>25</v>
      </c>
      <c r="E18" s="5" t="s">
        <v>32</v>
      </c>
      <c r="F18" s="5" t="str" cm="1">
        <f t="array" ref="F18">_xlfn.IFS(J18&lt;750,$N$3,J18&lt;2000,$N$4,J18&lt;4000,$N$5,J18&gt;4000,$N$6)</f>
        <v>$750 - $2.000</v>
      </c>
      <c r="G18" s="6" t="s">
        <v>36</v>
      </c>
      <c r="H18" s="7" t="s">
        <v>15</v>
      </c>
      <c r="I18" s="8">
        <v>705</v>
      </c>
      <c r="J18" s="9">
        <v>1030</v>
      </c>
      <c r="K18" s="9">
        <v>927</v>
      </c>
      <c r="L18" s="10"/>
    </row>
    <row r="19" spans="1:12" ht="13" x14ac:dyDescent="0.3">
      <c r="A19" s="5" t="s">
        <v>10</v>
      </c>
      <c r="B19" s="5" t="s">
        <v>11</v>
      </c>
      <c r="C19" s="5" t="s">
        <v>37</v>
      </c>
      <c r="D19" s="5" t="s">
        <v>25</v>
      </c>
      <c r="E19" s="5" t="s">
        <v>32</v>
      </c>
      <c r="F19" s="5" t="str" cm="1">
        <f t="array" ref="F19">_xlfn.IFS(J19&lt;750,$N$3,J19&lt;2000,$N$4,J19&lt;4000,$N$5,J19&gt;4000,$N$6)</f>
        <v>$750 - $2.000</v>
      </c>
      <c r="G19" s="6" t="s">
        <v>38</v>
      </c>
      <c r="H19" s="7" t="s">
        <v>15</v>
      </c>
      <c r="I19" s="8">
        <v>705</v>
      </c>
      <c r="J19" s="9">
        <v>1030</v>
      </c>
      <c r="K19" s="9">
        <v>927</v>
      </c>
      <c r="L19" s="10"/>
    </row>
    <row r="20" spans="1:12" ht="13" x14ac:dyDescent="0.3">
      <c r="A20" s="5" t="s">
        <v>10</v>
      </c>
      <c r="B20" s="5" t="s">
        <v>11</v>
      </c>
      <c r="C20" s="5" t="s">
        <v>23</v>
      </c>
      <c r="D20" s="5" t="s">
        <v>25</v>
      </c>
      <c r="E20" s="5" t="s">
        <v>39</v>
      </c>
      <c r="F20" s="5" t="str" cm="1">
        <f t="array" ref="F20">_xlfn.IFS(J20&lt;750,$N$3,J20&lt;2000,$N$4,J20&lt;4000,$N$5,J20&gt;4000,$N$6)</f>
        <v>$750 - $2.000</v>
      </c>
      <c r="G20" s="4" t="s">
        <v>40</v>
      </c>
      <c r="H20" s="7" t="s">
        <v>15</v>
      </c>
      <c r="I20" s="8">
        <v>1180</v>
      </c>
      <c r="J20" s="9">
        <v>1730</v>
      </c>
      <c r="K20" s="9">
        <v>1557</v>
      </c>
      <c r="L20" s="10"/>
    </row>
    <row r="21" spans="1:12" ht="13" x14ac:dyDescent="0.3">
      <c r="A21" s="5" t="s">
        <v>10</v>
      </c>
      <c r="B21" s="5" t="s">
        <v>11</v>
      </c>
      <c r="C21" s="5" t="s">
        <v>17</v>
      </c>
      <c r="D21" s="5" t="s">
        <v>25</v>
      </c>
      <c r="E21" s="5" t="s">
        <v>39</v>
      </c>
      <c r="F21" s="5" t="str" cm="1">
        <f t="array" ref="F21">_xlfn.IFS(J21&lt;750,$N$3,J21&lt;2000,$N$4,J21&lt;4000,$N$5,J21&gt;4000,$N$6)</f>
        <v>$750 - $2.000</v>
      </c>
      <c r="G21" s="4" t="s">
        <v>41</v>
      </c>
      <c r="H21" s="7" t="s">
        <v>15</v>
      </c>
      <c r="I21" s="8">
        <v>1180</v>
      </c>
      <c r="J21" s="9">
        <v>1730</v>
      </c>
      <c r="K21" s="9">
        <v>1557</v>
      </c>
      <c r="L21" s="10"/>
    </row>
    <row r="22" spans="1:12" ht="13" x14ac:dyDescent="0.3">
      <c r="A22" s="5" t="s">
        <v>10</v>
      </c>
      <c r="B22" s="5" t="s">
        <v>19</v>
      </c>
      <c r="C22" s="5" t="s">
        <v>23</v>
      </c>
      <c r="D22" s="5" t="s">
        <v>42</v>
      </c>
      <c r="E22" s="5" t="s">
        <v>43</v>
      </c>
      <c r="F22" s="5" t="str" cm="1">
        <f t="array" ref="F22">_xlfn.IFS(J22&lt;750,$N$3,J22&lt;2000,$N$4,J22&lt;4000,$N$5,J22&gt;4000,$N$6)</f>
        <v>$750 - $2.000</v>
      </c>
      <c r="G22" s="6" t="s">
        <v>44</v>
      </c>
      <c r="H22" s="7" t="s">
        <v>15</v>
      </c>
      <c r="I22" s="8">
        <v>551</v>
      </c>
      <c r="J22" s="9">
        <v>880</v>
      </c>
      <c r="K22" s="9">
        <v>792</v>
      </c>
      <c r="L22" s="10"/>
    </row>
    <row r="23" spans="1:12" ht="13" x14ac:dyDescent="0.3">
      <c r="A23" s="5" t="s">
        <v>10</v>
      </c>
      <c r="B23" s="5" t="s">
        <v>11</v>
      </c>
      <c r="C23" s="5" t="s">
        <v>24</v>
      </c>
      <c r="D23" s="5" t="s">
        <v>42</v>
      </c>
      <c r="E23" s="5" t="s">
        <v>43</v>
      </c>
      <c r="F23" s="5" t="str" cm="1">
        <f t="array" ref="F23">_xlfn.IFS(J23&lt;750,$N$3,J23&lt;2000,$N$4,J23&lt;4000,$N$5,J23&gt;4000,$N$6)</f>
        <v>$750 - $2.000</v>
      </c>
      <c r="G23" s="6" t="s">
        <v>45</v>
      </c>
      <c r="H23" s="7" t="s">
        <v>15</v>
      </c>
      <c r="I23" s="8">
        <v>551</v>
      </c>
      <c r="J23" s="9">
        <v>880</v>
      </c>
      <c r="K23" s="9">
        <v>792</v>
      </c>
      <c r="L23" s="10"/>
    </row>
    <row r="24" spans="1:12" ht="13" x14ac:dyDescent="0.3">
      <c r="A24" s="5" t="s">
        <v>10</v>
      </c>
      <c r="B24" s="5" t="s">
        <v>11</v>
      </c>
      <c r="C24" s="5" t="s">
        <v>17</v>
      </c>
      <c r="D24" s="5" t="s">
        <v>42</v>
      </c>
      <c r="E24" s="5" t="s">
        <v>43</v>
      </c>
      <c r="F24" s="5" t="str" cm="1">
        <f t="array" ref="F24">_xlfn.IFS(J24&lt;750,$N$3,J24&lt;2000,$N$4,J24&lt;4000,$N$5,J24&gt;4000,$N$6)</f>
        <v>$750 - $2.000</v>
      </c>
      <c r="G24" s="6" t="s">
        <v>46</v>
      </c>
      <c r="H24" s="7" t="s">
        <v>15</v>
      </c>
      <c r="I24" s="8">
        <v>551</v>
      </c>
      <c r="J24" s="9">
        <v>880</v>
      </c>
      <c r="K24" s="9">
        <v>792</v>
      </c>
      <c r="L24" s="10"/>
    </row>
    <row r="25" spans="1:12" ht="13" x14ac:dyDescent="0.3">
      <c r="A25" s="5" t="s">
        <v>10</v>
      </c>
      <c r="B25" s="5" t="s">
        <v>19</v>
      </c>
      <c r="C25" s="5" t="s">
        <v>20</v>
      </c>
      <c r="D25" s="5" t="s">
        <v>42</v>
      </c>
      <c r="E25" s="5" t="s">
        <v>47</v>
      </c>
      <c r="F25" s="5" t="str" cm="1">
        <f t="array" ref="F25">_xlfn.IFS(J25&lt;750,$N$3,J25&lt;2000,$N$4,J25&lt;4000,$N$5,J25&gt;4000,$N$6)</f>
        <v>$750 - $2.000</v>
      </c>
      <c r="G25" s="6" t="s">
        <v>48</v>
      </c>
      <c r="H25" s="7" t="s">
        <v>15</v>
      </c>
      <c r="I25" s="8">
        <v>659</v>
      </c>
      <c r="J25" s="9">
        <v>1030</v>
      </c>
      <c r="K25" s="9">
        <v>927</v>
      </c>
      <c r="L25" s="10"/>
    </row>
    <row r="26" spans="1:12" ht="13" x14ac:dyDescent="0.3">
      <c r="A26" s="5" t="s">
        <v>10</v>
      </c>
      <c r="B26" s="5" t="s">
        <v>11</v>
      </c>
      <c r="C26" s="5" t="s">
        <v>12</v>
      </c>
      <c r="D26" s="5" t="s">
        <v>42</v>
      </c>
      <c r="E26" s="5" t="s">
        <v>47</v>
      </c>
      <c r="F26" s="5" t="str" cm="1">
        <f t="array" ref="F26">_xlfn.IFS(J26&lt;750,$N$3,J26&lt;2000,$N$4,J26&lt;4000,$N$5,J26&gt;4000,$N$6)</f>
        <v>$750 - $2.000</v>
      </c>
      <c r="G26" s="6" t="s">
        <v>735</v>
      </c>
      <c r="H26" s="7" t="s">
        <v>15</v>
      </c>
      <c r="I26" s="8">
        <v>659</v>
      </c>
      <c r="J26" s="9">
        <v>1030</v>
      </c>
      <c r="K26" s="9">
        <v>927</v>
      </c>
      <c r="L26" s="10"/>
    </row>
    <row r="27" spans="1:12" ht="13" x14ac:dyDescent="0.3">
      <c r="A27" s="5" t="s">
        <v>10</v>
      </c>
      <c r="B27" s="5" t="s">
        <v>11</v>
      </c>
      <c r="C27" s="5" t="s">
        <v>24</v>
      </c>
      <c r="D27" s="5" t="s">
        <v>42</v>
      </c>
      <c r="E27" s="5" t="s">
        <v>47</v>
      </c>
      <c r="F27" s="5" t="str" cm="1">
        <f t="array" ref="F27">_xlfn.IFS(J27&lt;750,$N$3,J27&lt;2000,$N$4,J27&lt;4000,$N$5,J27&gt;4000,$N$6)</f>
        <v>$750 - $2.000</v>
      </c>
      <c r="G27" s="6" t="s">
        <v>736</v>
      </c>
      <c r="H27" s="7" t="s">
        <v>15</v>
      </c>
      <c r="I27" s="8">
        <v>659</v>
      </c>
      <c r="J27" s="9">
        <v>1030</v>
      </c>
      <c r="K27" s="9">
        <v>927</v>
      </c>
      <c r="L27" s="10"/>
    </row>
    <row r="28" spans="1:12" ht="13" x14ac:dyDescent="0.3">
      <c r="A28" s="5" t="s">
        <v>10</v>
      </c>
      <c r="B28" s="5" t="s">
        <v>11</v>
      </c>
      <c r="C28" s="5" t="s">
        <v>17</v>
      </c>
      <c r="D28" s="5" t="s">
        <v>42</v>
      </c>
      <c r="E28" s="5" t="s">
        <v>47</v>
      </c>
      <c r="F28" s="5" t="str" cm="1">
        <f t="array" ref="F28">_xlfn.IFS(J28&lt;750,$N$3,J28&lt;2000,$N$4,J28&lt;4000,$N$5,J28&gt;4000,$N$6)</f>
        <v>$750 - $2.000</v>
      </c>
      <c r="G28" s="6" t="s">
        <v>51</v>
      </c>
      <c r="H28" s="7" t="s">
        <v>15</v>
      </c>
      <c r="I28" s="8">
        <v>659</v>
      </c>
      <c r="J28" s="9">
        <v>1030</v>
      </c>
      <c r="K28" s="9">
        <v>927</v>
      </c>
      <c r="L28" s="10"/>
    </row>
    <row r="29" spans="1:12" ht="13" x14ac:dyDescent="0.3">
      <c r="A29" s="5" t="s">
        <v>10</v>
      </c>
      <c r="B29" s="5" t="s">
        <v>19</v>
      </c>
      <c r="C29" s="5" t="s">
        <v>20</v>
      </c>
      <c r="D29" s="5" t="s">
        <v>42</v>
      </c>
      <c r="E29" s="5" t="s">
        <v>52</v>
      </c>
      <c r="F29" s="5" t="str" cm="1">
        <f t="array" ref="F29">_xlfn.IFS(J29&lt;750,$N$3,J29&lt;2000,$N$4,J29&lt;4000,$N$5,J29&gt;4000,$N$6)</f>
        <v>$750 - $2.000</v>
      </c>
      <c r="G29" s="4" t="s">
        <v>53</v>
      </c>
      <c r="H29" s="7" t="s">
        <v>15</v>
      </c>
      <c r="I29" s="8">
        <v>765</v>
      </c>
      <c r="J29" s="9">
        <v>1330</v>
      </c>
      <c r="K29" s="9">
        <v>1197</v>
      </c>
      <c r="L29" s="10"/>
    </row>
    <row r="30" spans="1:12" ht="13" x14ac:dyDescent="0.3">
      <c r="A30" s="5" t="s">
        <v>10</v>
      </c>
      <c r="B30" s="5" t="s">
        <v>11</v>
      </c>
      <c r="C30" s="5" t="s">
        <v>23</v>
      </c>
      <c r="D30" s="5" t="s">
        <v>42</v>
      </c>
      <c r="E30" s="5" t="s">
        <v>52</v>
      </c>
      <c r="F30" s="5" t="str" cm="1">
        <f t="array" ref="F30">_xlfn.IFS(J30&lt;750,$N$3,J30&lt;2000,$N$4,J30&lt;4000,$N$5,J30&gt;4000,$N$6)</f>
        <v>$750 - $2.000</v>
      </c>
      <c r="G30" s="6" t="s">
        <v>54</v>
      </c>
      <c r="H30" s="7" t="s">
        <v>15</v>
      </c>
      <c r="I30" s="8">
        <v>758</v>
      </c>
      <c r="J30" s="9">
        <v>1220</v>
      </c>
      <c r="K30" s="9">
        <v>1098</v>
      </c>
      <c r="L30" s="10"/>
    </row>
    <row r="31" spans="1:12" ht="13" x14ac:dyDescent="0.3">
      <c r="A31" s="5" t="s">
        <v>10</v>
      </c>
      <c r="B31" s="5" t="s">
        <v>11</v>
      </c>
      <c r="C31" s="5" t="s">
        <v>17</v>
      </c>
      <c r="D31" s="5" t="s">
        <v>42</v>
      </c>
      <c r="E31" s="5" t="s">
        <v>52</v>
      </c>
      <c r="F31" s="5" t="str" cm="1">
        <f t="array" ref="F31">_xlfn.IFS(J31&lt;750,$N$3,J31&lt;2000,$N$4,J31&lt;4000,$N$5,J31&gt;4000,$N$6)</f>
        <v>$2.000 a $4.000</v>
      </c>
      <c r="G31" s="6" t="s">
        <v>55</v>
      </c>
      <c r="H31" s="7" t="s">
        <v>15</v>
      </c>
      <c r="I31" s="8">
        <v>1392</v>
      </c>
      <c r="J31" s="9">
        <v>2100</v>
      </c>
      <c r="K31" s="9">
        <v>1890</v>
      </c>
      <c r="L31" s="10"/>
    </row>
    <row r="32" spans="1:12" ht="13" x14ac:dyDescent="0.3">
      <c r="A32" s="5" t="s">
        <v>10</v>
      </c>
      <c r="B32" s="5" t="s">
        <v>11</v>
      </c>
      <c r="C32" s="5" t="s">
        <v>12</v>
      </c>
      <c r="D32" s="5" t="s">
        <v>42</v>
      </c>
      <c r="E32" s="5" t="s">
        <v>52</v>
      </c>
      <c r="F32" s="5" t="str" cm="1">
        <f t="array" ref="F32">_xlfn.IFS(J32&lt;750,$N$3,J32&lt;2000,$N$4,J32&lt;4000,$N$5,J32&gt;4000,$N$6)</f>
        <v>$2.000 a $4.000</v>
      </c>
      <c r="G32" s="4" t="s">
        <v>56</v>
      </c>
      <c r="H32" s="7" t="s">
        <v>15</v>
      </c>
      <c r="I32" s="8">
        <v>1461</v>
      </c>
      <c r="J32" s="9">
        <v>2220</v>
      </c>
      <c r="K32" s="9">
        <v>1998</v>
      </c>
      <c r="L32" s="10"/>
    </row>
    <row r="33" spans="1:12" ht="13" x14ac:dyDescent="0.3">
      <c r="A33" s="5" t="s">
        <v>10</v>
      </c>
      <c r="B33" s="5" t="s">
        <v>19</v>
      </c>
      <c r="C33" s="5" t="s">
        <v>20</v>
      </c>
      <c r="D33" s="5" t="s">
        <v>42</v>
      </c>
      <c r="E33" s="5" t="s">
        <v>57</v>
      </c>
      <c r="F33" s="5" t="str" cm="1">
        <f t="array" ref="F33">_xlfn.IFS(J33&lt;750,$N$3,J33&lt;2000,$N$4,J33&lt;4000,$N$5,J33&gt;4000,$N$6)</f>
        <v>$750 - $2.000</v>
      </c>
      <c r="G33" s="6" t="s">
        <v>58</v>
      </c>
      <c r="H33" s="7" t="s">
        <v>59</v>
      </c>
      <c r="I33" s="8">
        <v>1150</v>
      </c>
      <c r="J33" s="9">
        <v>1770</v>
      </c>
      <c r="K33" s="9">
        <v>1593</v>
      </c>
      <c r="L33" s="10"/>
    </row>
    <row r="34" spans="1:12" ht="13" x14ac:dyDescent="0.3">
      <c r="A34" s="5" t="s">
        <v>10</v>
      </c>
      <c r="B34" s="5" t="s">
        <v>11</v>
      </c>
      <c r="C34" s="5" t="s">
        <v>60</v>
      </c>
      <c r="D34" s="5" t="s">
        <v>42</v>
      </c>
      <c r="E34" s="5" t="s">
        <v>57</v>
      </c>
      <c r="F34" s="5" t="str" cm="1">
        <f t="array" ref="F34">_xlfn.IFS(J34&lt;750,$N$3,J34&lt;2000,$N$4,J34&lt;4000,$N$5,J34&gt;4000,$N$6)</f>
        <v>$750 - $2.000</v>
      </c>
      <c r="G34" s="4" t="s">
        <v>61</v>
      </c>
      <c r="H34" s="7" t="s">
        <v>59</v>
      </c>
      <c r="I34" s="8">
        <v>1150</v>
      </c>
      <c r="J34" s="9">
        <v>1770</v>
      </c>
      <c r="K34" s="9">
        <v>1593</v>
      </c>
      <c r="L34" s="10"/>
    </row>
    <row r="35" spans="1:12" ht="13" x14ac:dyDescent="0.3">
      <c r="A35" s="5" t="s">
        <v>10</v>
      </c>
      <c r="B35" s="5" t="s">
        <v>11</v>
      </c>
      <c r="C35" s="5" t="s">
        <v>12</v>
      </c>
      <c r="D35" s="5" t="s">
        <v>42</v>
      </c>
      <c r="E35" s="5" t="s">
        <v>57</v>
      </c>
      <c r="F35" s="5" t="str" cm="1">
        <f t="array" ref="F35">_xlfn.IFS(J35&lt;750,$N$3,J35&lt;2000,$N$4,J35&lt;4000,$N$5,J35&gt;4000,$N$6)</f>
        <v>$750 - $2.000</v>
      </c>
      <c r="G35" s="6" t="s">
        <v>62</v>
      </c>
      <c r="H35" s="7" t="s">
        <v>59</v>
      </c>
      <c r="I35" s="8">
        <v>1252</v>
      </c>
      <c r="J35" s="9">
        <v>1880</v>
      </c>
      <c r="K35" s="9">
        <v>1692</v>
      </c>
      <c r="L35" s="10"/>
    </row>
    <row r="36" spans="1:12" ht="13" x14ac:dyDescent="0.3">
      <c r="A36" s="5" t="s">
        <v>10</v>
      </c>
      <c r="B36" s="5" t="s">
        <v>11</v>
      </c>
      <c r="C36" s="5" t="s">
        <v>24</v>
      </c>
      <c r="D36" s="5" t="s">
        <v>42</v>
      </c>
      <c r="E36" s="5" t="s">
        <v>57</v>
      </c>
      <c r="F36" s="5" t="str" cm="1">
        <f t="array" ref="F36">_xlfn.IFS(J36&lt;750,$N$3,J36&lt;2000,$N$4,J36&lt;4000,$N$5,J36&gt;4000,$N$6)</f>
        <v>$2.000 a $4.000</v>
      </c>
      <c r="G36" s="6" t="s">
        <v>63</v>
      </c>
      <c r="H36" s="7" t="s">
        <v>59</v>
      </c>
      <c r="I36" s="8">
        <v>1603</v>
      </c>
      <c r="J36" s="9">
        <v>2440</v>
      </c>
      <c r="K36" s="9">
        <v>2196</v>
      </c>
      <c r="L36" s="10"/>
    </row>
    <row r="37" spans="1:12" ht="13" x14ac:dyDescent="0.3">
      <c r="A37" s="5" t="s">
        <v>10</v>
      </c>
      <c r="B37" s="5" t="s">
        <v>11</v>
      </c>
      <c r="C37" s="5" t="s">
        <v>17</v>
      </c>
      <c r="D37" s="5" t="s">
        <v>42</v>
      </c>
      <c r="E37" s="5" t="s">
        <v>57</v>
      </c>
      <c r="F37" s="5" t="str" cm="1">
        <f t="array" ref="F37">_xlfn.IFS(J37&lt;750,$N$3,J37&lt;2000,$N$4,J37&lt;4000,$N$5,J37&gt;4000,$N$6)</f>
        <v>$2.000 a $4.000</v>
      </c>
      <c r="G37" s="4" t="s">
        <v>64</v>
      </c>
      <c r="H37" s="7" t="s">
        <v>59</v>
      </c>
      <c r="I37" s="8">
        <v>2299</v>
      </c>
      <c r="J37" s="9">
        <v>3440</v>
      </c>
      <c r="K37" s="9">
        <v>3096</v>
      </c>
      <c r="L37" s="10"/>
    </row>
    <row r="38" spans="1:12" ht="13" x14ac:dyDescent="0.3">
      <c r="A38" s="5" t="s">
        <v>10</v>
      </c>
      <c r="B38" s="5" t="s">
        <v>19</v>
      </c>
      <c r="C38" s="5" t="s">
        <v>20</v>
      </c>
      <c r="D38" s="5" t="s">
        <v>65</v>
      </c>
      <c r="E38" s="5" t="s">
        <v>66</v>
      </c>
      <c r="F38" s="5" t="str" cm="1">
        <f t="array" ref="F38">_xlfn.IFS(J38&lt;750,$N$3,J38&lt;2000,$N$4,J38&lt;4000,$N$5,J38&gt;4000,$N$6)</f>
        <v>$750 - $2.000</v>
      </c>
      <c r="G38" s="4" t="s">
        <v>67</v>
      </c>
      <c r="H38" s="7" t="s">
        <v>15</v>
      </c>
      <c r="I38" s="8">
        <v>1238</v>
      </c>
      <c r="J38" s="9">
        <v>1990</v>
      </c>
      <c r="K38" s="9">
        <v>1791</v>
      </c>
      <c r="L38" s="10"/>
    </row>
    <row r="39" spans="1:12" ht="13" x14ac:dyDescent="0.3">
      <c r="A39" s="5" t="s">
        <v>10</v>
      </c>
      <c r="B39" s="5" t="s">
        <v>11</v>
      </c>
      <c r="C39" s="5" t="s">
        <v>24</v>
      </c>
      <c r="D39" s="5" t="s">
        <v>65</v>
      </c>
      <c r="E39" s="5" t="s">
        <v>66</v>
      </c>
      <c r="F39" s="5" t="str" cm="1">
        <f t="array" ref="F39">_xlfn.IFS(J39&lt;750,$N$3,J39&lt;2000,$N$4,J39&lt;4000,$N$5,J39&gt;4000,$N$6)</f>
        <v>$2.000 a $4.000</v>
      </c>
      <c r="G39" s="6" t="s">
        <v>68</v>
      </c>
      <c r="H39" s="7" t="s">
        <v>15</v>
      </c>
      <c r="I39" s="8">
        <v>1375</v>
      </c>
      <c r="J39" s="9">
        <v>2100</v>
      </c>
      <c r="K39" s="9">
        <v>1890</v>
      </c>
      <c r="L39" s="10"/>
    </row>
    <row r="40" spans="1:12" ht="13" x14ac:dyDescent="0.3">
      <c r="A40" s="5" t="s">
        <v>10</v>
      </c>
      <c r="B40" s="5" t="s">
        <v>11</v>
      </c>
      <c r="C40" s="5" t="s">
        <v>17</v>
      </c>
      <c r="D40" s="5" t="s">
        <v>65</v>
      </c>
      <c r="E40" s="5" t="s">
        <v>66</v>
      </c>
      <c r="F40" s="5" t="str" cm="1">
        <f t="array" ref="F40">_xlfn.IFS(J40&lt;750,$N$3,J40&lt;2000,$N$4,J40&lt;4000,$N$5,J40&gt;4000,$N$6)</f>
        <v>$2.000 a $4.000</v>
      </c>
      <c r="G40" s="6" t="s">
        <v>69</v>
      </c>
      <c r="H40" s="7" t="s">
        <v>15</v>
      </c>
      <c r="I40" s="8">
        <v>1430</v>
      </c>
      <c r="J40" s="9">
        <v>2220</v>
      </c>
      <c r="K40" s="9">
        <v>1998</v>
      </c>
      <c r="L40" s="10"/>
    </row>
    <row r="41" spans="1:12" ht="13" x14ac:dyDescent="0.3">
      <c r="A41" s="5" t="s">
        <v>10</v>
      </c>
      <c r="B41" s="5" t="s">
        <v>11</v>
      </c>
      <c r="C41" s="5" t="s">
        <v>70</v>
      </c>
      <c r="D41" s="5" t="s">
        <v>65</v>
      </c>
      <c r="E41" s="5" t="s">
        <v>66</v>
      </c>
      <c r="F41" s="5" t="str" cm="1">
        <f t="array" ref="F41">_xlfn.IFS(J41&lt;750,$N$3,J41&lt;2000,$N$4,J41&lt;4000,$N$5,J41&gt;4000,$N$6)</f>
        <v>$2.000 a $4.000</v>
      </c>
      <c r="G41" s="6" t="s">
        <v>71</v>
      </c>
      <c r="H41" s="7" t="s">
        <v>15</v>
      </c>
      <c r="I41" s="8">
        <v>1485</v>
      </c>
      <c r="J41" s="9">
        <v>2330</v>
      </c>
      <c r="K41" s="9">
        <v>2097</v>
      </c>
      <c r="L41" s="10"/>
    </row>
    <row r="42" spans="1:12" ht="13" x14ac:dyDescent="0.3">
      <c r="A42" s="5" t="s">
        <v>10</v>
      </c>
      <c r="B42" s="5" t="s">
        <v>11</v>
      </c>
      <c r="C42" s="5" t="s">
        <v>23</v>
      </c>
      <c r="D42" s="5" t="s">
        <v>65</v>
      </c>
      <c r="E42" s="5" t="s">
        <v>72</v>
      </c>
      <c r="F42" s="5" t="str" cm="1">
        <f t="array" ref="F42">_xlfn.IFS(J42&lt;750,$N$3,J42&lt;2000,$N$4,J42&lt;4000,$N$5,J42&gt;4000,$N$6)</f>
        <v>$4.000 en adelante</v>
      </c>
      <c r="G42" s="6" t="s">
        <v>73</v>
      </c>
      <c r="H42" s="7" t="s">
        <v>15</v>
      </c>
      <c r="I42" s="8">
        <v>2310</v>
      </c>
      <c r="J42" s="9">
        <v>4440</v>
      </c>
      <c r="K42" s="9">
        <v>3996</v>
      </c>
      <c r="L42" s="10"/>
    </row>
    <row r="43" spans="1:12" ht="13" x14ac:dyDescent="0.3">
      <c r="A43" s="5" t="s">
        <v>10</v>
      </c>
      <c r="B43" s="5" t="s">
        <v>11</v>
      </c>
      <c r="C43" s="5"/>
      <c r="D43" s="5" t="s">
        <v>65</v>
      </c>
      <c r="E43" s="5" t="s">
        <v>72</v>
      </c>
      <c r="F43" s="5" t="str" cm="1">
        <f t="array" ref="F43">_xlfn.IFS(J43&lt;750,$N$3,J43&lt;2000,$N$4,J43&lt;4000,$N$5,J43&gt;4000,$N$6)</f>
        <v>$4.000 en adelante</v>
      </c>
      <c r="G43" s="6" t="s">
        <v>74</v>
      </c>
      <c r="H43" s="7" t="s">
        <v>15</v>
      </c>
      <c r="I43" s="8">
        <v>2310</v>
      </c>
      <c r="J43" s="9">
        <v>4440</v>
      </c>
      <c r="K43" s="9">
        <v>3996</v>
      </c>
      <c r="L43" s="10"/>
    </row>
    <row r="44" spans="1:12" ht="13" x14ac:dyDescent="0.3">
      <c r="A44" s="5" t="s">
        <v>10</v>
      </c>
      <c r="B44" s="5" t="s">
        <v>11</v>
      </c>
      <c r="C44" s="5"/>
      <c r="D44" s="5" t="s">
        <v>65</v>
      </c>
      <c r="E44" s="5" t="s">
        <v>72</v>
      </c>
      <c r="F44" s="5" t="str" cm="1">
        <f t="array" ref="F44">_xlfn.IFS(J44&lt;750,$N$3,J44&lt;2000,$N$4,J44&lt;4000,$N$5,J44&gt;4000,$N$6)</f>
        <v>$4.000 en adelante</v>
      </c>
      <c r="G44" s="6" t="s">
        <v>75</v>
      </c>
      <c r="H44" s="7" t="s">
        <v>15</v>
      </c>
      <c r="I44" s="8">
        <v>2310</v>
      </c>
      <c r="J44" s="9">
        <v>4440</v>
      </c>
      <c r="K44" s="9">
        <v>3996</v>
      </c>
      <c r="L44" s="10"/>
    </row>
    <row r="45" spans="1:12" ht="13" x14ac:dyDescent="0.3">
      <c r="A45" s="5" t="s">
        <v>10</v>
      </c>
      <c r="B45" s="5" t="s">
        <v>11</v>
      </c>
      <c r="C45" s="5"/>
      <c r="D45" s="5" t="s">
        <v>65</v>
      </c>
      <c r="E45" s="5" t="s">
        <v>72</v>
      </c>
      <c r="F45" s="5" t="str" cm="1">
        <f t="array" ref="F45">_xlfn.IFS(J45&lt;750,$N$3,J45&lt;2000,$N$4,J45&lt;4000,$N$5,J45&gt;4000,$N$6)</f>
        <v>$4.000 en adelante</v>
      </c>
      <c r="G45" s="6" t="s">
        <v>76</v>
      </c>
      <c r="H45" s="7" t="s">
        <v>15</v>
      </c>
      <c r="I45" s="8">
        <v>2310</v>
      </c>
      <c r="J45" s="9">
        <v>4440</v>
      </c>
      <c r="K45" s="9">
        <v>3996</v>
      </c>
      <c r="L45" s="10"/>
    </row>
    <row r="46" spans="1:12" ht="13" x14ac:dyDescent="0.3">
      <c r="A46" s="5" t="s">
        <v>10</v>
      </c>
      <c r="B46" s="5" t="s">
        <v>11</v>
      </c>
      <c r="C46" s="5"/>
      <c r="D46" s="5" t="s">
        <v>65</v>
      </c>
      <c r="E46" s="5" t="s">
        <v>72</v>
      </c>
      <c r="F46" s="5" t="str" cm="1">
        <f t="array" ref="F46">_xlfn.IFS(J46&lt;750,$N$3,J46&lt;2000,$N$4,J46&lt;4000,$N$5,J46&gt;4000,$N$6)</f>
        <v>$4.000 en adelante</v>
      </c>
      <c r="G46" s="6" t="s">
        <v>77</v>
      </c>
      <c r="H46" s="7" t="s">
        <v>15</v>
      </c>
      <c r="I46" s="8">
        <v>2310</v>
      </c>
      <c r="J46" s="9">
        <v>4990</v>
      </c>
      <c r="K46" s="9">
        <v>4491</v>
      </c>
      <c r="L46" s="10"/>
    </row>
    <row r="47" spans="1:12" ht="13" x14ac:dyDescent="0.3">
      <c r="A47" s="5" t="s">
        <v>10</v>
      </c>
      <c r="B47" s="5" t="s">
        <v>11</v>
      </c>
      <c r="C47" s="5"/>
      <c r="D47" s="5" t="s">
        <v>42</v>
      </c>
      <c r="E47" s="5" t="s">
        <v>78</v>
      </c>
      <c r="F47" s="5" t="str" cm="1">
        <f t="array" ref="F47">_xlfn.IFS(J47&lt;750,$N$3,J47&lt;2000,$N$4,J47&lt;4000,$N$5,J47&gt;4000,$N$6)</f>
        <v>$4.000 en adelante</v>
      </c>
      <c r="G47" s="4" t="s">
        <v>78</v>
      </c>
      <c r="H47" s="7" t="s">
        <v>79</v>
      </c>
      <c r="I47" s="8">
        <v>7150</v>
      </c>
      <c r="J47" s="9">
        <v>11100</v>
      </c>
      <c r="K47" s="9">
        <v>9990</v>
      </c>
      <c r="L47" s="10"/>
    </row>
    <row r="48" spans="1:12" ht="13" x14ac:dyDescent="0.3">
      <c r="A48" s="5" t="s">
        <v>10</v>
      </c>
      <c r="B48" s="5" t="s">
        <v>11</v>
      </c>
      <c r="C48" s="5" t="s">
        <v>17</v>
      </c>
      <c r="D48" s="5" t="s">
        <v>42</v>
      </c>
      <c r="E48" s="5" t="s">
        <v>80</v>
      </c>
      <c r="F48" s="5" t="str" cm="1">
        <f t="array" ref="F48">_xlfn.IFS(J48&lt;750,$N$3,J48&lt;2000,$N$4,J48&lt;4000,$N$5,J48&gt;4000,$N$6)</f>
        <v>$4.000 en adelante</v>
      </c>
      <c r="G48" s="6" t="s">
        <v>81</v>
      </c>
      <c r="H48" s="7" t="s">
        <v>79</v>
      </c>
      <c r="I48" s="8">
        <v>6545</v>
      </c>
      <c r="J48" s="9">
        <v>11100</v>
      </c>
      <c r="K48" s="9">
        <v>9990</v>
      </c>
      <c r="L48" s="10"/>
    </row>
    <row r="49" spans="1:12" ht="13" x14ac:dyDescent="0.3">
      <c r="A49" s="5" t="s">
        <v>10</v>
      </c>
      <c r="B49" s="5" t="s">
        <v>11</v>
      </c>
      <c r="C49" s="5"/>
      <c r="D49" s="5" t="s">
        <v>82</v>
      </c>
      <c r="E49" s="5" t="s">
        <v>83</v>
      </c>
      <c r="F49" s="5" t="str" cm="1">
        <f t="array" ref="F49">_xlfn.IFS(J49&lt;750,$N$3,J49&lt;2000,$N$4,J49&lt;4000,$N$5,J49&gt;4000,$N$6)</f>
        <v>$4.000 en adelante</v>
      </c>
      <c r="G49" s="6" t="s">
        <v>84</v>
      </c>
      <c r="H49" s="7" t="s">
        <v>79</v>
      </c>
      <c r="I49" s="8">
        <v>8640</v>
      </c>
      <c r="J49" s="9">
        <v>15450</v>
      </c>
      <c r="K49" s="9">
        <v>13905</v>
      </c>
      <c r="L49" s="10"/>
    </row>
    <row r="50" spans="1:12" ht="13" x14ac:dyDescent="0.3">
      <c r="A50" s="5" t="s">
        <v>10</v>
      </c>
      <c r="B50" s="5" t="s">
        <v>11</v>
      </c>
      <c r="C50" s="5" t="s">
        <v>23</v>
      </c>
      <c r="D50" s="5" t="s">
        <v>85</v>
      </c>
      <c r="E50" s="5" t="s">
        <v>86</v>
      </c>
      <c r="F50" s="5" t="str" cm="1">
        <f t="array" ref="F50">_xlfn.IFS(J50&lt;750,$N$3,J50&lt;2000,$N$4,J50&lt;4000,$N$5,J50&gt;4000,$N$6)</f>
        <v>$750 - $2.000</v>
      </c>
      <c r="G50" s="6" t="s">
        <v>87</v>
      </c>
      <c r="H50" s="7" t="s">
        <v>15</v>
      </c>
      <c r="I50" s="8">
        <v>1050</v>
      </c>
      <c r="J50" s="9">
        <v>1770</v>
      </c>
      <c r="K50" s="9">
        <v>1593</v>
      </c>
      <c r="L50" s="10"/>
    </row>
    <row r="51" spans="1:12" ht="13" x14ac:dyDescent="0.3">
      <c r="A51" s="5" t="s">
        <v>10</v>
      </c>
      <c r="B51" s="5" t="s">
        <v>11</v>
      </c>
      <c r="C51" s="5" t="s">
        <v>17</v>
      </c>
      <c r="D51" s="5" t="s">
        <v>85</v>
      </c>
      <c r="E51" s="5" t="s">
        <v>88</v>
      </c>
      <c r="F51" s="5" t="str" cm="1">
        <f t="array" ref="F51">_xlfn.IFS(J51&lt;750,$N$3,J51&lt;2000,$N$4,J51&lt;4000,$N$5,J51&gt;4000,$N$6)</f>
        <v>$750 - $2.000</v>
      </c>
      <c r="G51" s="6" t="s">
        <v>89</v>
      </c>
      <c r="H51" s="7" t="s">
        <v>15</v>
      </c>
      <c r="I51" s="8">
        <v>1290</v>
      </c>
      <c r="J51" s="9">
        <v>1880</v>
      </c>
      <c r="K51" s="9">
        <v>1692</v>
      </c>
      <c r="L51" s="10"/>
    </row>
    <row r="52" spans="1:12" ht="13" x14ac:dyDescent="0.3">
      <c r="A52" s="5" t="s">
        <v>10</v>
      </c>
      <c r="B52" s="5" t="s">
        <v>11</v>
      </c>
      <c r="C52" s="5"/>
      <c r="D52" s="5" t="s">
        <v>90</v>
      </c>
      <c r="E52" s="5" t="s">
        <v>91</v>
      </c>
      <c r="F52" s="5" t="str" cm="1">
        <f t="array" ref="F52">_xlfn.IFS(J52&lt;750,$N$3,J52&lt;2000,$N$4,J52&lt;4000,$N$5,J52&gt;4000,$N$6)</f>
        <v>$2.000 a $4.000</v>
      </c>
      <c r="G52" s="6" t="s">
        <v>92</v>
      </c>
      <c r="H52" s="7" t="s">
        <v>15</v>
      </c>
      <c r="I52" s="8">
        <v>1854.7670454545457</v>
      </c>
      <c r="J52" s="9">
        <v>2770</v>
      </c>
      <c r="K52" s="9">
        <v>2493</v>
      </c>
      <c r="L52" s="10"/>
    </row>
    <row r="53" spans="1:12" ht="13" x14ac:dyDescent="0.3">
      <c r="A53" s="5" t="s">
        <v>10</v>
      </c>
      <c r="B53" s="5" t="s">
        <v>11</v>
      </c>
      <c r="C53" s="5"/>
      <c r="D53" s="5" t="s">
        <v>90</v>
      </c>
      <c r="E53" s="5" t="s">
        <v>91</v>
      </c>
      <c r="F53" s="5" t="str" cm="1">
        <f t="array" ref="F53">_xlfn.IFS(J53&lt;750,$N$3,J53&lt;2000,$N$4,J53&lt;4000,$N$5,J53&gt;4000,$N$6)</f>
        <v>$2.000 a $4.000</v>
      </c>
      <c r="G53" s="25" t="s">
        <v>93</v>
      </c>
      <c r="H53" s="7" t="s">
        <v>15</v>
      </c>
      <c r="I53" s="8">
        <v>1854.7670454545457</v>
      </c>
      <c r="J53" s="9">
        <v>2770</v>
      </c>
      <c r="K53" s="9">
        <v>2493</v>
      </c>
      <c r="L53" s="10"/>
    </row>
    <row r="54" spans="1:12" ht="13" x14ac:dyDescent="0.3">
      <c r="A54" s="5" t="s">
        <v>10</v>
      </c>
      <c r="B54" s="5" t="s">
        <v>11</v>
      </c>
      <c r="C54" s="5"/>
      <c r="D54" s="5" t="s">
        <v>90</v>
      </c>
      <c r="E54" s="5" t="s">
        <v>91</v>
      </c>
      <c r="F54" s="5" t="str" cm="1">
        <f t="array" ref="F54">_xlfn.IFS(J54&lt;750,$N$3,J54&lt;2000,$N$4,J54&lt;4000,$N$5,J54&gt;4000,$N$6)</f>
        <v>$4.000 en adelante</v>
      </c>
      <c r="G54" s="26" t="s">
        <v>94</v>
      </c>
      <c r="H54" s="7" t="s">
        <v>15</v>
      </c>
      <c r="I54" s="8">
        <v>3650.3965909090912</v>
      </c>
      <c r="J54" s="9">
        <v>5330</v>
      </c>
      <c r="K54" s="9">
        <v>4797</v>
      </c>
      <c r="L54" s="10"/>
    </row>
    <row r="55" spans="1:12" ht="13" x14ac:dyDescent="0.3">
      <c r="A55" s="5" t="s">
        <v>10</v>
      </c>
      <c r="B55" s="5" t="s">
        <v>11</v>
      </c>
      <c r="C55" s="5"/>
      <c r="D55" s="5" t="s">
        <v>90</v>
      </c>
      <c r="E55" s="5" t="s">
        <v>91</v>
      </c>
      <c r="F55" s="5" t="str" cm="1">
        <f t="array" ref="F55">_xlfn.IFS(J55&lt;750,$N$3,J55&lt;2000,$N$4,J55&lt;4000,$N$5,J55&gt;4000,$N$6)</f>
        <v>$4.000 en adelante</v>
      </c>
      <c r="G55" s="26" t="s">
        <v>95</v>
      </c>
      <c r="H55" s="7" t="s">
        <v>15</v>
      </c>
      <c r="I55" s="8">
        <v>3650.3965909090912</v>
      </c>
      <c r="J55" s="9">
        <v>5330</v>
      </c>
      <c r="K55" s="9">
        <v>4797</v>
      </c>
      <c r="L55" s="10"/>
    </row>
    <row r="56" spans="1:12" ht="13" x14ac:dyDescent="0.3">
      <c r="A56" s="5" t="s">
        <v>10</v>
      </c>
      <c r="B56" s="5" t="s">
        <v>11</v>
      </c>
      <c r="C56" s="5"/>
      <c r="D56" s="5" t="s">
        <v>90</v>
      </c>
      <c r="E56" s="5" t="s">
        <v>96</v>
      </c>
      <c r="F56" s="5" t="str" cm="1">
        <f t="array" ref="F56">_xlfn.IFS(J56&lt;750,$N$3,J56&lt;2000,$N$4,J56&lt;4000,$N$5,J56&gt;4000,$N$6)</f>
        <v>$4.000 en adelante</v>
      </c>
      <c r="G56" s="25" t="s">
        <v>97</v>
      </c>
      <c r="H56" s="7" t="s">
        <v>79</v>
      </c>
      <c r="I56" s="8">
        <v>8494.256198347106</v>
      </c>
      <c r="J56" s="9">
        <v>13330</v>
      </c>
      <c r="K56" s="9">
        <v>11997</v>
      </c>
      <c r="L56" s="10"/>
    </row>
    <row r="57" spans="1:12" ht="13" x14ac:dyDescent="0.3">
      <c r="A57" s="5" t="s">
        <v>10</v>
      </c>
      <c r="B57" s="5" t="s">
        <v>11</v>
      </c>
      <c r="C57" s="5"/>
      <c r="D57" s="5" t="s">
        <v>90</v>
      </c>
      <c r="E57" s="5" t="s">
        <v>98</v>
      </c>
      <c r="F57" s="5" t="str" cm="1">
        <f t="array" ref="F57">_xlfn.IFS(J57&lt;750,$N$3,J57&lt;2000,$N$4,J57&lt;4000,$N$5,J57&gt;4000,$N$6)</f>
        <v>$2.000 a $4.000</v>
      </c>
      <c r="G57" s="25" t="s">
        <v>98</v>
      </c>
      <c r="H57" s="7" t="s">
        <v>15</v>
      </c>
      <c r="I57" s="8">
        <v>1900.8636363636363</v>
      </c>
      <c r="J57" s="9">
        <v>2770</v>
      </c>
      <c r="K57" s="9">
        <v>2493</v>
      </c>
      <c r="L57" s="10"/>
    </row>
    <row r="58" spans="1:12" ht="13" x14ac:dyDescent="0.3">
      <c r="A58" s="5" t="s">
        <v>10</v>
      </c>
      <c r="B58" s="5" t="s">
        <v>11</v>
      </c>
      <c r="C58" s="5" t="s">
        <v>17</v>
      </c>
      <c r="D58" s="5" t="s">
        <v>90</v>
      </c>
      <c r="E58" s="5" t="s">
        <v>99</v>
      </c>
      <c r="F58" s="5" t="str" cm="1">
        <f t="array" ref="F58">_xlfn.IFS(J58&lt;750,$N$3,J58&lt;2000,$N$4,J58&lt;4000,$N$5,J58&gt;4000,$N$6)</f>
        <v>$750 - $2.000</v>
      </c>
      <c r="G58" s="25" t="s">
        <v>100</v>
      </c>
      <c r="H58" s="7" t="s">
        <v>15</v>
      </c>
      <c r="I58" s="8">
        <v>900.53719008264454</v>
      </c>
      <c r="J58" s="9">
        <v>1330</v>
      </c>
      <c r="K58" s="9">
        <v>1197</v>
      </c>
      <c r="L58" s="10"/>
    </row>
    <row r="59" spans="1:12" ht="13" x14ac:dyDescent="0.3">
      <c r="A59" s="5" t="s">
        <v>10</v>
      </c>
      <c r="B59" s="5" t="s">
        <v>11</v>
      </c>
      <c r="C59" s="5"/>
      <c r="D59" s="5" t="s">
        <v>90</v>
      </c>
      <c r="E59" s="5" t="s">
        <v>101</v>
      </c>
      <c r="F59" s="5" t="str" cm="1">
        <f t="array" ref="F59">_xlfn.IFS(J59&lt;750,$N$3,J59&lt;2000,$N$4,J59&lt;4000,$N$5,J59&gt;4000,$N$6)</f>
        <v>$4.000 en adelante</v>
      </c>
      <c r="G59" s="26" t="s">
        <v>102</v>
      </c>
      <c r="H59" s="7" t="s">
        <v>103</v>
      </c>
      <c r="I59" s="8">
        <v>5315.6033057851246</v>
      </c>
      <c r="J59" s="9">
        <v>8100</v>
      </c>
      <c r="K59" s="9">
        <v>7290</v>
      </c>
      <c r="L59" s="10"/>
    </row>
    <row r="60" spans="1:12" ht="13" x14ac:dyDescent="0.3">
      <c r="A60" s="5" t="s">
        <v>10</v>
      </c>
      <c r="B60" s="5" t="s">
        <v>11</v>
      </c>
      <c r="C60" s="5"/>
      <c r="D60" s="5" t="s">
        <v>90</v>
      </c>
      <c r="E60" s="5" t="s">
        <v>101</v>
      </c>
      <c r="F60" s="5" t="str" cm="1">
        <f t="array" ref="F60">_xlfn.IFS(J60&lt;750,$N$3,J60&lt;2000,$N$4,J60&lt;4000,$N$5,J60&gt;4000,$N$6)</f>
        <v>$2.000 a $4.000</v>
      </c>
      <c r="G60" s="6" t="s">
        <v>104</v>
      </c>
      <c r="H60" s="7" t="s">
        <v>15</v>
      </c>
      <c r="I60" s="8">
        <v>2141.818181818182</v>
      </c>
      <c r="J60" s="9">
        <v>3330</v>
      </c>
      <c r="K60" s="9">
        <v>2997</v>
      </c>
      <c r="L60" s="10"/>
    </row>
    <row r="61" spans="1:12" ht="13" x14ac:dyDescent="0.3">
      <c r="A61" s="5" t="s">
        <v>10</v>
      </c>
      <c r="B61" s="5" t="s">
        <v>11</v>
      </c>
      <c r="C61" s="5" t="s">
        <v>17</v>
      </c>
      <c r="D61" s="5" t="s">
        <v>90</v>
      </c>
      <c r="E61" s="5" t="s">
        <v>101</v>
      </c>
      <c r="F61" s="5" t="str" cm="1">
        <f t="array" ref="F61">_xlfn.IFS(J61&lt;750,$N$3,J61&lt;2000,$N$4,J61&lt;4000,$N$5,J61&gt;4000,$N$6)</f>
        <v>$2.000 a $4.000</v>
      </c>
      <c r="G61" s="6" t="s">
        <v>105</v>
      </c>
      <c r="H61" s="7" t="s">
        <v>15</v>
      </c>
      <c r="I61" s="8">
        <v>1635.5702479338843</v>
      </c>
      <c r="J61" s="9">
        <v>2330</v>
      </c>
      <c r="K61" s="9">
        <v>2097</v>
      </c>
      <c r="L61" s="10"/>
    </row>
    <row r="62" spans="1:12" ht="13" x14ac:dyDescent="0.3">
      <c r="A62" s="5" t="s">
        <v>10</v>
      </c>
      <c r="B62" s="5" t="s">
        <v>11</v>
      </c>
      <c r="C62" s="5" t="s">
        <v>37</v>
      </c>
      <c r="D62" s="5" t="s">
        <v>90</v>
      </c>
      <c r="E62" s="5" t="s">
        <v>101</v>
      </c>
      <c r="F62" s="5" t="str" cm="1">
        <f t="array" ref="F62">_xlfn.IFS(J62&lt;750,$N$3,J62&lt;2000,$N$4,J62&lt;4000,$N$5,J62&gt;4000,$N$6)</f>
        <v>$750 - $2.000</v>
      </c>
      <c r="G62" s="6" t="s">
        <v>106</v>
      </c>
      <c r="H62" s="7" t="s">
        <v>15</v>
      </c>
      <c r="I62" s="8">
        <v>1299.6942148760329</v>
      </c>
      <c r="J62" s="9">
        <v>1990</v>
      </c>
      <c r="K62" s="9">
        <v>1791</v>
      </c>
      <c r="L62" s="10"/>
    </row>
    <row r="63" spans="1:12" ht="13" x14ac:dyDescent="0.3">
      <c r="A63" s="5" t="s">
        <v>10</v>
      </c>
      <c r="B63" s="5" t="s">
        <v>11</v>
      </c>
      <c r="C63" s="5" t="s">
        <v>107</v>
      </c>
      <c r="D63" s="5" t="s">
        <v>90</v>
      </c>
      <c r="E63" s="5" t="s">
        <v>101</v>
      </c>
      <c r="F63" s="5" t="str" cm="1">
        <f t="array" ref="F63">_xlfn.IFS(J63&lt;750,$N$3,J63&lt;2000,$N$4,J63&lt;4000,$N$5,J63&gt;4000,$N$6)</f>
        <v>$750 - $2.000</v>
      </c>
      <c r="G63" s="6" t="s">
        <v>108</v>
      </c>
      <c r="H63" s="7" t="s">
        <v>15</v>
      </c>
      <c r="I63" s="8">
        <v>1299.6942148760329</v>
      </c>
      <c r="J63" s="9">
        <v>1990</v>
      </c>
      <c r="K63" s="9">
        <v>1791</v>
      </c>
      <c r="L63" s="10"/>
    </row>
    <row r="64" spans="1:12" ht="13" x14ac:dyDescent="0.3">
      <c r="A64" s="5" t="s">
        <v>10</v>
      </c>
      <c r="B64" s="5" t="s">
        <v>19</v>
      </c>
      <c r="C64" s="5" t="s">
        <v>20</v>
      </c>
      <c r="D64" s="5" t="s">
        <v>90</v>
      </c>
      <c r="E64" s="5" t="s">
        <v>101</v>
      </c>
      <c r="F64" s="5" t="str" cm="1">
        <f t="array" ref="F64">_xlfn.IFS(J64&lt;750,$N$3,J64&lt;2000,$N$4,J64&lt;4000,$N$5,J64&gt;4000,$N$6)</f>
        <v>$750 - $2.000</v>
      </c>
      <c r="G64" s="6" t="s">
        <v>109</v>
      </c>
      <c r="H64" s="7" t="s">
        <v>15</v>
      </c>
      <c r="I64" s="8">
        <v>1299.6942148760329</v>
      </c>
      <c r="J64" s="9">
        <v>1990</v>
      </c>
      <c r="K64" s="9">
        <v>1791</v>
      </c>
      <c r="L64" s="10"/>
    </row>
    <row r="65" spans="1:13" ht="13" x14ac:dyDescent="0.3">
      <c r="A65" s="5" t="s">
        <v>10</v>
      </c>
      <c r="B65" s="5" t="s">
        <v>11</v>
      </c>
      <c r="C65" s="5" t="s">
        <v>70</v>
      </c>
      <c r="D65" s="5" t="s">
        <v>90</v>
      </c>
      <c r="E65" s="5" t="s">
        <v>110</v>
      </c>
      <c r="F65" s="5" t="str" cm="1">
        <f t="array" ref="F65">_xlfn.IFS(J65&lt;750,$N$3,J65&lt;2000,$N$4,J65&lt;4000,$N$5,J65&gt;4000,$N$6)</f>
        <v>$4.000 en adelante</v>
      </c>
      <c r="G65" s="6" t="s">
        <v>111</v>
      </c>
      <c r="H65" s="7" t="s">
        <v>59</v>
      </c>
      <c r="I65" s="8">
        <v>3047.2231404958679</v>
      </c>
      <c r="J65" s="9">
        <v>4440</v>
      </c>
      <c r="K65" s="9">
        <v>3996</v>
      </c>
      <c r="L65" s="10"/>
    </row>
    <row r="66" spans="1:13" ht="13" x14ac:dyDescent="0.3">
      <c r="A66" s="5" t="s">
        <v>10</v>
      </c>
      <c r="B66" s="5" t="s">
        <v>11</v>
      </c>
      <c r="C66" s="5" t="s">
        <v>17</v>
      </c>
      <c r="D66" s="5" t="s">
        <v>112</v>
      </c>
      <c r="E66" s="5" t="s">
        <v>113</v>
      </c>
      <c r="F66" s="5" t="str" cm="1">
        <f t="array" ref="F66">_xlfn.IFS(J66&lt;750,$N$3,J66&lt;2000,$N$4,J66&lt;4000,$N$5,J66&gt;4000,$N$6)</f>
        <v>$750 - $2.000</v>
      </c>
      <c r="G66" s="4" t="s">
        <v>114</v>
      </c>
      <c r="H66" s="7" t="s">
        <v>15</v>
      </c>
      <c r="I66" s="8">
        <v>1035.8900000000001</v>
      </c>
      <c r="J66" s="9">
        <v>1500</v>
      </c>
      <c r="K66" s="9">
        <v>1350</v>
      </c>
      <c r="L66" s="10"/>
    </row>
    <row r="67" spans="1:13" ht="13" x14ac:dyDescent="0.3">
      <c r="A67" s="5" t="s">
        <v>10</v>
      </c>
      <c r="B67" s="5" t="s">
        <v>11</v>
      </c>
      <c r="C67" s="5" t="s">
        <v>23</v>
      </c>
      <c r="D67" s="5" t="s">
        <v>112</v>
      </c>
      <c r="E67" s="5" t="s">
        <v>115</v>
      </c>
      <c r="F67" s="5" t="str" cm="1">
        <f t="array" ref="F67">_xlfn.IFS(J67&lt;750,$N$3,J67&lt;2000,$N$4,J67&lt;4000,$N$5,J67&gt;4000,$N$6)</f>
        <v>$2.000 a $4.000</v>
      </c>
      <c r="G67" s="6" t="s">
        <v>116</v>
      </c>
      <c r="H67" s="7" t="s">
        <v>15</v>
      </c>
      <c r="I67" s="8">
        <v>2127</v>
      </c>
      <c r="J67" s="9">
        <v>3060</v>
      </c>
      <c r="K67" s="9">
        <v>2754</v>
      </c>
      <c r="L67" s="10"/>
    </row>
    <row r="68" spans="1:13" ht="13" x14ac:dyDescent="0.3">
      <c r="A68" s="5" t="s">
        <v>10</v>
      </c>
      <c r="B68" s="5" t="s">
        <v>11</v>
      </c>
      <c r="C68" s="5" t="s">
        <v>17</v>
      </c>
      <c r="D68" s="5" t="s">
        <v>112</v>
      </c>
      <c r="E68" s="5" t="s">
        <v>117</v>
      </c>
      <c r="F68" s="5" t="str" cm="1">
        <f t="array" ref="F68">_xlfn.IFS(J68&lt;750,$N$3,J68&lt;2000,$N$4,J68&lt;4000,$N$5,J68&gt;4000,$N$6)</f>
        <v>$4.000 en adelante</v>
      </c>
      <c r="G68" s="6" t="s">
        <v>118</v>
      </c>
      <c r="H68" s="7" t="s">
        <v>15</v>
      </c>
      <c r="I68" s="8">
        <v>2932.8</v>
      </c>
      <c r="J68" s="9">
        <v>4330</v>
      </c>
      <c r="K68" s="9">
        <v>3897</v>
      </c>
      <c r="L68" s="10"/>
      <c r="M68" s="10"/>
    </row>
    <row r="69" spans="1:13" ht="13" x14ac:dyDescent="0.3">
      <c r="A69" s="5" t="s">
        <v>10</v>
      </c>
      <c r="B69" s="5" t="s">
        <v>11</v>
      </c>
      <c r="C69" s="5" t="s">
        <v>17</v>
      </c>
      <c r="D69" s="5" t="s">
        <v>112</v>
      </c>
      <c r="E69" s="5" t="s">
        <v>117</v>
      </c>
      <c r="F69" s="5" t="str" cm="1">
        <f t="array" ref="F69">_xlfn.IFS(J69&lt;750,$N$3,J69&lt;2000,$N$4,J69&lt;4000,$N$5,J69&gt;4000,$N$6)</f>
        <v>$4.000 en adelante</v>
      </c>
      <c r="G69" s="6" t="s">
        <v>119</v>
      </c>
      <c r="H69" s="7" t="s">
        <v>15</v>
      </c>
      <c r="I69" s="8">
        <v>2932.8</v>
      </c>
      <c r="J69" s="9">
        <v>4330</v>
      </c>
      <c r="K69" s="9">
        <v>3897</v>
      </c>
      <c r="L69" s="10"/>
    </row>
    <row r="70" spans="1:13" ht="13" x14ac:dyDescent="0.3">
      <c r="A70" s="5" t="s">
        <v>10</v>
      </c>
      <c r="B70" s="5" t="s">
        <v>11</v>
      </c>
      <c r="C70" s="5" t="s">
        <v>17</v>
      </c>
      <c r="D70" s="5" t="s">
        <v>120</v>
      </c>
      <c r="E70" s="5" t="s">
        <v>121</v>
      </c>
      <c r="F70" s="5" t="str" cm="1">
        <f t="array" ref="F70">_xlfn.IFS(J70&lt;750,$N$3,J70&lt;2000,$N$4,J70&lt;4000,$N$5,J70&gt;4000,$N$6)</f>
        <v>$2.000 a $4.000</v>
      </c>
      <c r="G70" s="6" t="s">
        <v>122</v>
      </c>
      <c r="H70" s="7" t="s">
        <v>59</v>
      </c>
      <c r="I70" s="8">
        <v>1450.9259999999997</v>
      </c>
      <c r="J70" s="9">
        <v>2100</v>
      </c>
      <c r="K70" s="9">
        <v>1890</v>
      </c>
      <c r="L70" s="10"/>
    </row>
    <row r="71" spans="1:13" ht="13" x14ac:dyDescent="0.3">
      <c r="A71" s="5" t="s">
        <v>10</v>
      </c>
      <c r="B71" s="5" t="s">
        <v>11</v>
      </c>
      <c r="C71" s="5" t="s">
        <v>12</v>
      </c>
      <c r="D71" s="5" t="s">
        <v>120</v>
      </c>
      <c r="E71" s="5" t="s">
        <v>121</v>
      </c>
      <c r="F71" s="5" t="str" cm="1">
        <f t="array" ref="F71">_xlfn.IFS(J71&lt;750,$N$3,J71&lt;2000,$N$4,J71&lt;4000,$N$5,J71&gt;4000,$N$6)</f>
        <v>$2.000 a $4.000</v>
      </c>
      <c r="G71" s="6" t="s">
        <v>737</v>
      </c>
      <c r="H71" s="7" t="s">
        <v>59</v>
      </c>
      <c r="I71" s="8">
        <v>1450.9259999999997</v>
      </c>
      <c r="J71" s="9">
        <v>2100</v>
      </c>
      <c r="K71" s="9">
        <v>1890</v>
      </c>
      <c r="L71" s="10"/>
    </row>
    <row r="72" spans="1:13" ht="13" x14ac:dyDescent="0.3">
      <c r="A72" s="5" t="s">
        <v>10</v>
      </c>
      <c r="B72" s="5" t="s">
        <v>11</v>
      </c>
      <c r="C72" s="5" t="s">
        <v>24</v>
      </c>
      <c r="D72" s="5" t="s">
        <v>120</v>
      </c>
      <c r="E72" s="5" t="s">
        <v>121</v>
      </c>
      <c r="F72" s="5" t="str" cm="1">
        <f t="array" ref="F72">_xlfn.IFS(J72&lt;750,$N$3,J72&lt;2000,$N$4,J72&lt;4000,$N$5,J72&gt;4000,$N$6)</f>
        <v>$2.000 a $4.000</v>
      </c>
      <c r="G72" s="6" t="s">
        <v>738</v>
      </c>
      <c r="H72" s="7" t="s">
        <v>59</v>
      </c>
      <c r="I72" s="8">
        <v>1450.9259999999997</v>
      </c>
      <c r="J72" s="9">
        <v>2100</v>
      </c>
      <c r="K72" s="9">
        <v>1890</v>
      </c>
      <c r="L72" s="10"/>
    </row>
    <row r="73" spans="1:13" ht="13" x14ac:dyDescent="0.3">
      <c r="A73" s="5" t="s">
        <v>10</v>
      </c>
      <c r="B73" s="5" t="s">
        <v>11</v>
      </c>
      <c r="C73" s="5" t="s">
        <v>12</v>
      </c>
      <c r="D73" s="5" t="s">
        <v>125</v>
      </c>
      <c r="E73" s="5" t="s">
        <v>126</v>
      </c>
      <c r="F73" s="5" t="str" cm="1">
        <f t="array" ref="F73">_xlfn.IFS(J73&lt;750,$N$3,J73&lt;2000,$N$4,J73&lt;4000,$N$5,J73&gt;4000,$N$6)</f>
        <v>$750 - $2.000</v>
      </c>
      <c r="G73" s="6" t="s">
        <v>127</v>
      </c>
      <c r="H73" s="7" t="s">
        <v>15</v>
      </c>
      <c r="I73" s="8">
        <v>914.09</v>
      </c>
      <c r="J73" s="9">
        <v>1330</v>
      </c>
      <c r="K73" s="9">
        <v>1197</v>
      </c>
      <c r="L73" s="10"/>
    </row>
    <row r="74" spans="1:13" ht="13" x14ac:dyDescent="0.3">
      <c r="A74" s="5" t="s">
        <v>10</v>
      </c>
      <c r="B74" s="5" t="s">
        <v>11</v>
      </c>
      <c r="C74" s="5" t="s">
        <v>24</v>
      </c>
      <c r="D74" s="5" t="s">
        <v>125</v>
      </c>
      <c r="E74" s="5" t="s">
        <v>126</v>
      </c>
      <c r="F74" s="5" t="str" cm="1">
        <f t="array" ref="F74">_xlfn.IFS(J74&lt;750,$N$3,J74&lt;2000,$N$4,J74&lt;4000,$N$5,J74&gt;4000,$N$6)</f>
        <v>$750 - $2.000</v>
      </c>
      <c r="G74" s="6" t="s">
        <v>128</v>
      </c>
      <c r="H74" s="7" t="s">
        <v>15</v>
      </c>
      <c r="I74" s="8">
        <v>914.09</v>
      </c>
      <c r="J74" s="9">
        <v>1330</v>
      </c>
      <c r="K74" s="9">
        <v>1197</v>
      </c>
      <c r="L74" s="10"/>
    </row>
    <row r="75" spans="1:13" ht="13" x14ac:dyDescent="0.3">
      <c r="A75" s="5" t="s">
        <v>10</v>
      </c>
      <c r="B75" s="5" t="s">
        <v>11</v>
      </c>
      <c r="C75" s="5" t="s">
        <v>17</v>
      </c>
      <c r="D75" s="5" t="s">
        <v>125</v>
      </c>
      <c r="E75" s="5" t="s">
        <v>126</v>
      </c>
      <c r="F75" s="5" t="str" cm="1">
        <f t="array" ref="F75">_xlfn.IFS(J75&lt;750,$N$3,J75&lt;2000,$N$4,J75&lt;4000,$N$5,J75&gt;4000,$N$6)</f>
        <v>$750 - $2.000</v>
      </c>
      <c r="G75" s="6" t="s">
        <v>129</v>
      </c>
      <c r="H75" s="7" t="s">
        <v>15</v>
      </c>
      <c r="I75" s="8">
        <v>914.09</v>
      </c>
      <c r="J75" s="9">
        <v>1330</v>
      </c>
      <c r="K75" s="9">
        <v>1197</v>
      </c>
      <c r="L75" s="10"/>
    </row>
    <row r="76" spans="1:13" ht="13" x14ac:dyDescent="0.3">
      <c r="A76" s="5" t="s">
        <v>10</v>
      </c>
      <c r="B76" s="5" t="s">
        <v>11</v>
      </c>
      <c r="C76" s="5" t="s">
        <v>130</v>
      </c>
      <c r="D76" s="5" t="s">
        <v>125</v>
      </c>
      <c r="E76" s="5" t="s">
        <v>126</v>
      </c>
      <c r="F76" s="5" t="str" cm="1">
        <f t="array" ref="F76">_xlfn.IFS(J76&lt;750,$N$3,J76&lt;2000,$N$4,J76&lt;4000,$N$5,J76&gt;4000,$N$6)</f>
        <v>$750 - $2.000</v>
      </c>
      <c r="G76" s="6" t="s">
        <v>131</v>
      </c>
      <c r="H76" s="7" t="s">
        <v>15</v>
      </c>
      <c r="I76" s="8">
        <v>914.09</v>
      </c>
      <c r="J76" s="9">
        <v>1330</v>
      </c>
      <c r="K76" s="9">
        <v>1197</v>
      </c>
      <c r="L76" s="10"/>
    </row>
    <row r="77" spans="1:13" ht="13" x14ac:dyDescent="0.3">
      <c r="A77" s="5" t="s">
        <v>10</v>
      </c>
      <c r="B77" s="5" t="s">
        <v>11</v>
      </c>
      <c r="C77" s="5"/>
      <c r="D77" s="5" t="s">
        <v>125</v>
      </c>
      <c r="E77" s="5" t="s">
        <v>132</v>
      </c>
      <c r="F77" s="5" t="str" cm="1">
        <f t="array" ref="F77">_xlfn.IFS(J77&lt;750,$N$3,J77&lt;2000,$N$4,J77&lt;4000,$N$5,J77&gt;4000,$N$6)</f>
        <v>$2.000 a $4.000</v>
      </c>
      <c r="G77" s="6" t="s">
        <v>133</v>
      </c>
      <c r="H77" s="7" t="s">
        <v>15</v>
      </c>
      <c r="I77" s="8">
        <v>1631.98</v>
      </c>
      <c r="J77" s="9">
        <v>2330</v>
      </c>
      <c r="K77" s="9">
        <v>2097</v>
      </c>
      <c r="L77" s="10"/>
    </row>
    <row r="78" spans="1:13" ht="13" x14ac:dyDescent="0.3">
      <c r="A78" s="5" t="s">
        <v>10</v>
      </c>
      <c r="B78" s="5" t="s">
        <v>11</v>
      </c>
      <c r="C78" s="5" t="s">
        <v>24</v>
      </c>
      <c r="D78" s="5" t="s">
        <v>125</v>
      </c>
      <c r="E78" s="5" t="s">
        <v>134</v>
      </c>
      <c r="F78" s="5" t="str" cm="1">
        <f t="array" ref="F78">_xlfn.IFS(J78&lt;750,$N$3,J78&lt;2000,$N$4,J78&lt;4000,$N$5,J78&gt;4000,$N$6)</f>
        <v>$2.000 a $4.000</v>
      </c>
      <c r="G78" s="6" t="s">
        <v>761</v>
      </c>
      <c r="H78" s="7" t="s">
        <v>15</v>
      </c>
      <c r="I78" s="8">
        <v>1387.2</v>
      </c>
      <c r="J78" s="9">
        <v>2060</v>
      </c>
      <c r="K78" s="9">
        <v>1854</v>
      </c>
      <c r="L78" s="10"/>
    </row>
    <row r="79" spans="1:13" ht="13" x14ac:dyDescent="0.3">
      <c r="A79" s="5" t="s">
        <v>10</v>
      </c>
      <c r="B79" s="5" t="s">
        <v>11</v>
      </c>
      <c r="C79" s="5" t="s">
        <v>17</v>
      </c>
      <c r="D79" s="5" t="s">
        <v>125</v>
      </c>
      <c r="E79" s="5" t="s">
        <v>134</v>
      </c>
      <c r="F79" s="5" t="str" cm="1">
        <f t="array" ref="F79">_xlfn.IFS(J79&lt;750,$N$3,J79&lt;2000,$N$4,J79&lt;4000,$N$5,J79&gt;4000,$N$6)</f>
        <v>$2.000 a $4.000</v>
      </c>
      <c r="G79" s="4" t="s">
        <v>136</v>
      </c>
      <c r="H79" s="7" t="s">
        <v>15</v>
      </c>
      <c r="I79" s="8">
        <v>1387.2</v>
      </c>
      <c r="J79" s="9">
        <v>2060</v>
      </c>
      <c r="K79" s="9">
        <v>1854</v>
      </c>
      <c r="L79" s="10"/>
    </row>
    <row r="80" spans="1:13" ht="13" x14ac:dyDescent="0.3">
      <c r="A80" s="5" t="s">
        <v>10</v>
      </c>
      <c r="B80" s="5" t="s">
        <v>11</v>
      </c>
      <c r="C80" s="5" t="s">
        <v>24</v>
      </c>
      <c r="D80" s="5" t="s">
        <v>125</v>
      </c>
      <c r="E80" s="5" t="s">
        <v>134</v>
      </c>
      <c r="F80" s="5" t="str" cm="1">
        <f t="array" ref="F80">_xlfn.IFS(J80&lt;750,$N$3,J80&lt;2000,$N$4,J80&lt;4000,$N$5,J80&gt;4000,$N$6)</f>
        <v>$2.000 a $4.000</v>
      </c>
      <c r="G80" s="6" t="s">
        <v>762</v>
      </c>
      <c r="H80" s="7" t="s">
        <v>15</v>
      </c>
      <c r="I80" s="8">
        <v>1387.2</v>
      </c>
      <c r="J80" s="9">
        <v>2060</v>
      </c>
      <c r="K80" s="9">
        <v>1854</v>
      </c>
      <c r="L80" s="10"/>
    </row>
    <row r="81" spans="1:12" ht="13" x14ac:dyDescent="0.3">
      <c r="A81" s="5" t="s">
        <v>10</v>
      </c>
      <c r="B81" s="5" t="s">
        <v>11</v>
      </c>
      <c r="C81" s="5" t="s">
        <v>17</v>
      </c>
      <c r="D81" s="5" t="s">
        <v>125</v>
      </c>
      <c r="E81" s="5" t="s">
        <v>134</v>
      </c>
      <c r="F81" s="5" t="str" cm="1">
        <f t="array" ref="F81">_xlfn.IFS(J81&lt;750,$N$3,J81&lt;2000,$N$4,J81&lt;4000,$N$5,J81&gt;4000,$N$6)</f>
        <v>$2.000 a $4.000</v>
      </c>
      <c r="G81" s="6" t="s">
        <v>138</v>
      </c>
      <c r="H81" s="7" t="s">
        <v>15</v>
      </c>
      <c r="I81" s="8">
        <v>1387.2</v>
      </c>
      <c r="J81" s="9">
        <v>2060</v>
      </c>
      <c r="K81" s="9">
        <v>1854</v>
      </c>
      <c r="L81" s="10"/>
    </row>
    <row r="82" spans="1:12" ht="13" x14ac:dyDescent="0.3">
      <c r="A82" s="5" t="s">
        <v>10</v>
      </c>
      <c r="B82" s="5" t="s">
        <v>11</v>
      </c>
      <c r="C82" s="5" t="s">
        <v>12</v>
      </c>
      <c r="D82" s="5" t="s">
        <v>139</v>
      </c>
      <c r="E82" s="5" t="s">
        <v>140</v>
      </c>
      <c r="F82" s="5" t="str" cm="1">
        <f t="array" ref="F82">_xlfn.IFS(J82&lt;750,$N$3,J82&lt;2000,$N$4,J82&lt;4000,$N$5,J82&gt;4000,$N$6)</f>
        <v>$0 - $750</v>
      </c>
      <c r="G82" s="6" t="s">
        <v>739</v>
      </c>
      <c r="H82" s="7" t="s">
        <v>15</v>
      </c>
      <c r="I82" s="8">
        <v>468</v>
      </c>
      <c r="J82" s="9">
        <v>690</v>
      </c>
      <c r="K82" s="9">
        <v>621</v>
      </c>
      <c r="L82" s="10"/>
    </row>
    <row r="83" spans="1:12" ht="13" x14ac:dyDescent="0.3">
      <c r="A83" s="5" t="s">
        <v>10</v>
      </c>
      <c r="B83" s="5" t="s">
        <v>11</v>
      </c>
      <c r="C83" s="5" t="s">
        <v>24</v>
      </c>
      <c r="D83" s="5" t="s">
        <v>139</v>
      </c>
      <c r="E83" s="5" t="s">
        <v>140</v>
      </c>
      <c r="F83" s="5" t="str" cm="1">
        <f t="array" ref="F83">_xlfn.IFS(J83&lt;750,$N$3,J83&lt;2000,$N$4,J83&lt;4000,$N$5,J83&gt;4000,$N$6)</f>
        <v>$0 - $750</v>
      </c>
      <c r="G83" s="4" t="s">
        <v>763</v>
      </c>
      <c r="H83" s="7" t="s">
        <v>15</v>
      </c>
      <c r="I83" s="8">
        <v>468</v>
      </c>
      <c r="J83" s="9">
        <v>690</v>
      </c>
      <c r="K83" s="9">
        <v>621</v>
      </c>
      <c r="L83" s="10"/>
    </row>
    <row r="84" spans="1:12" ht="13" x14ac:dyDescent="0.3">
      <c r="A84" s="5" t="s">
        <v>10</v>
      </c>
      <c r="B84" s="5" t="s">
        <v>11</v>
      </c>
      <c r="C84" s="5" t="s">
        <v>17</v>
      </c>
      <c r="D84" s="5" t="s">
        <v>139</v>
      </c>
      <c r="E84" s="5" t="s">
        <v>140</v>
      </c>
      <c r="F84" s="5" t="str" cm="1">
        <f t="array" ref="F84">_xlfn.IFS(J84&lt;750,$N$3,J84&lt;2000,$N$4,J84&lt;4000,$N$5,J84&gt;4000,$N$6)</f>
        <v>$0 - $750</v>
      </c>
      <c r="G84" s="6" t="s">
        <v>143</v>
      </c>
      <c r="H84" s="7" t="s">
        <v>15</v>
      </c>
      <c r="I84" s="8">
        <v>468</v>
      </c>
      <c r="J84" s="9">
        <v>690</v>
      </c>
      <c r="K84" s="9">
        <v>621</v>
      </c>
      <c r="L84" s="10"/>
    </row>
    <row r="85" spans="1:12" ht="13" x14ac:dyDescent="0.3">
      <c r="A85" s="5" t="s">
        <v>10</v>
      </c>
      <c r="B85" s="5" t="s">
        <v>11</v>
      </c>
      <c r="C85" s="5" t="s">
        <v>23</v>
      </c>
      <c r="D85" s="5" t="s">
        <v>139</v>
      </c>
      <c r="E85" s="5" t="s">
        <v>144</v>
      </c>
      <c r="F85" s="5" t="str" cm="1">
        <f t="array" ref="F85">_xlfn.IFS(J85&lt;750,$N$3,J85&lt;2000,$N$4,J85&lt;4000,$N$5,J85&gt;4000,$N$6)</f>
        <v>$750 - $2.000</v>
      </c>
      <c r="G85" s="6" t="s">
        <v>145</v>
      </c>
      <c r="H85" s="7" t="s">
        <v>15</v>
      </c>
      <c r="I85" s="8">
        <v>1044</v>
      </c>
      <c r="J85" s="9">
        <v>1550</v>
      </c>
      <c r="K85" s="9">
        <v>1395</v>
      </c>
      <c r="L85" s="10"/>
    </row>
    <row r="86" spans="1:12" ht="13" x14ac:dyDescent="0.3">
      <c r="A86" s="5" t="s">
        <v>10</v>
      </c>
      <c r="B86" s="5" t="s">
        <v>11</v>
      </c>
      <c r="C86" s="5" t="s">
        <v>17</v>
      </c>
      <c r="D86" s="5" t="s">
        <v>139</v>
      </c>
      <c r="E86" s="5" t="s">
        <v>146</v>
      </c>
      <c r="F86" s="5" t="str" cm="1">
        <f t="array" ref="F86">_xlfn.IFS(J86&lt;750,$N$3,J86&lt;2000,$N$4,J86&lt;4000,$N$5,J86&gt;4000,$N$6)</f>
        <v>$750 - $2.000</v>
      </c>
      <c r="G86" s="6" t="s">
        <v>147</v>
      </c>
      <c r="H86" s="7" t="s">
        <v>15</v>
      </c>
      <c r="I86" s="8">
        <v>972</v>
      </c>
      <c r="J86" s="9">
        <v>1440</v>
      </c>
      <c r="K86" s="9">
        <v>1296</v>
      </c>
      <c r="L86" s="10"/>
    </row>
    <row r="87" spans="1:12" ht="13" x14ac:dyDescent="0.3">
      <c r="A87" s="5" t="s">
        <v>10</v>
      </c>
      <c r="B87" s="5" t="s">
        <v>11</v>
      </c>
      <c r="C87" s="5" t="s">
        <v>23</v>
      </c>
      <c r="D87" s="5" t="s">
        <v>139</v>
      </c>
      <c r="E87" s="5" t="s">
        <v>146</v>
      </c>
      <c r="F87" s="5" t="str" cm="1">
        <f t="array" ref="F87">_xlfn.IFS(J87&lt;750,$N$3,J87&lt;2000,$N$4,J87&lt;4000,$N$5,J87&gt;4000,$N$6)</f>
        <v>$2.000 a $4.000</v>
      </c>
      <c r="G87" s="6" t="s">
        <v>148</v>
      </c>
      <c r="H87" s="7" t="s">
        <v>15</v>
      </c>
      <c r="I87" s="8">
        <v>1584</v>
      </c>
      <c r="J87" s="9">
        <v>2330</v>
      </c>
      <c r="K87" s="9">
        <v>2097</v>
      </c>
      <c r="L87" s="10"/>
    </row>
    <row r="88" spans="1:12" ht="13" x14ac:dyDescent="0.3">
      <c r="A88" s="5" t="s">
        <v>10</v>
      </c>
      <c r="B88" s="5" t="s">
        <v>28</v>
      </c>
      <c r="C88" s="5" t="s">
        <v>393</v>
      </c>
      <c r="D88" s="5" t="s">
        <v>149</v>
      </c>
      <c r="E88" s="5" t="s">
        <v>150</v>
      </c>
      <c r="F88" s="5" t="str" cm="1">
        <f t="array" ref="F88">_xlfn.IFS(J88&lt;750,$N$3,J88&lt;2000,$N$4,J88&lt;4000,$N$5,J88&gt;4000,$N$6)</f>
        <v>$0 - $750</v>
      </c>
      <c r="G88" s="6" t="s">
        <v>151</v>
      </c>
      <c r="H88" s="7" t="s">
        <v>15</v>
      </c>
      <c r="I88" s="8">
        <v>417.6</v>
      </c>
      <c r="J88" s="9">
        <v>620</v>
      </c>
      <c r="K88" s="9">
        <v>558</v>
      </c>
      <c r="L88" s="10"/>
    </row>
    <row r="89" spans="1:12" ht="13" x14ac:dyDescent="0.3">
      <c r="A89" s="5" t="s">
        <v>10</v>
      </c>
      <c r="B89" s="5" t="s">
        <v>11</v>
      </c>
      <c r="C89" s="5" t="s">
        <v>17</v>
      </c>
      <c r="D89" s="5" t="s">
        <v>149</v>
      </c>
      <c r="E89" s="5" t="s">
        <v>150</v>
      </c>
      <c r="F89" s="5" t="str" cm="1">
        <f t="array" ref="F89">_xlfn.IFS(J89&lt;750,$N$3,J89&lt;2000,$N$4,J89&lt;4000,$N$5,J89&gt;4000,$N$6)</f>
        <v>$0 - $750</v>
      </c>
      <c r="G89" s="6" t="s">
        <v>152</v>
      </c>
      <c r="H89" s="7" t="s">
        <v>15</v>
      </c>
      <c r="I89" s="8">
        <v>417.6</v>
      </c>
      <c r="J89" s="9">
        <v>620</v>
      </c>
      <c r="K89" s="9">
        <v>558</v>
      </c>
      <c r="L89" s="10"/>
    </row>
    <row r="90" spans="1:12" ht="13" x14ac:dyDescent="0.3">
      <c r="A90" s="5" t="s">
        <v>10</v>
      </c>
      <c r="B90" s="5" t="s">
        <v>11</v>
      </c>
      <c r="C90" s="5" t="s">
        <v>24</v>
      </c>
      <c r="D90" s="5" t="s">
        <v>149</v>
      </c>
      <c r="E90" s="5" t="s">
        <v>153</v>
      </c>
      <c r="F90" s="5" t="str" cm="1">
        <f t="array" ref="F90">_xlfn.IFS(J90&lt;750,$N$3,J90&lt;2000,$N$4,J90&lt;4000,$N$5,J90&gt;4000,$N$6)</f>
        <v>$750 - $2.000</v>
      </c>
      <c r="G90" s="6" t="s">
        <v>764</v>
      </c>
      <c r="H90" s="7" t="s">
        <v>15</v>
      </c>
      <c r="I90" s="8">
        <v>730.8</v>
      </c>
      <c r="J90" s="9">
        <v>1060</v>
      </c>
      <c r="K90" s="9">
        <v>954</v>
      </c>
      <c r="L90" s="10"/>
    </row>
    <row r="91" spans="1:12" ht="13" x14ac:dyDescent="0.3">
      <c r="A91" s="5" t="s">
        <v>10</v>
      </c>
      <c r="B91" s="5" t="s">
        <v>11</v>
      </c>
      <c r="C91" s="5" t="s">
        <v>17</v>
      </c>
      <c r="D91" s="5" t="s">
        <v>149</v>
      </c>
      <c r="E91" s="5" t="s">
        <v>153</v>
      </c>
      <c r="F91" s="5" t="str" cm="1">
        <f t="array" ref="F91">_xlfn.IFS(J91&lt;750,$N$3,J91&lt;2000,$N$4,J91&lt;4000,$N$5,J91&gt;4000,$N$6)</f>
        <v>$750 - $2.000</v>
      </c>
      <c r="G91" s="6" t="s">
        <v>155</v>
      </c>
      <c r="H91" s="7" t="s">
        <v>15</v>
      </c>
      <c r="I91" s="8">
        <v>730.8</v>
      </c>
      <c r="J91" s="9">
        <v>1060</v>
      </c>
      <c r="K91" s="9">
        <v>954</v>
      </c>
      <c r="L91" s="10"/>
    </row>
    <row r="92" spans="1:12" ht="13" x14ac:dyDescent="0.3">
      <c r="A92" s="5" t="s">
        <v>10</v>
      </c>
      <c r="B92" s="5" t="s">
        <v>11</v>
      </c>
      <c r="C92" s="5" t="s">
        <v>17</v>
      </c>
      <c r="D92" s="5" t="s">
        <v>156</v>
      </c>
      <c r="E92" s="5" t="s">
        <v>157</v>
      </c>
      <c r="F92" s="5" t="str" cm="1">
        <f t="array" ref="F92">_xlfn.IFS(J92&lt;750,$N$3,J92&lt;2000,$N$4,J92&lt;4000,$N$5,J92&gt;4000,$N$6)</f>
        <v>$750 - $2.000</v>
      </c>
      <c r="G92" s="6" t="s">
        <v>158</v>
      </c>
      <c r="H92" s="7" t="s">
        <v>15</v>
      </c>
      <c r="I92" s="8">
        <v>797.58</v>
      </c>
      <c r="J92" s="9">
        <v>1170</v>
      </c>
      <c r="K92" s="9">
        <v>1053</v>
      </c>
      <c r="L92" s="10"/>
    </row>
    <row r="93" spans="1:12" ht="13" x14ac:dyDescent="0.3">
      <c r="A93" s="5" t="s">
        <v>10</v>
      </c>
      <c r="B93" s="5" t="s">
        <v>11</v>
      </c>
      <c r="C93" s="5" t="s">
        <v>107</v>
      </c>
      <c r="D93" s="5" t="s">
        <v>156</v>
      </c>
      <c r="E93" s="5" t="s">
        <v>159</v>
      </c>
      <c r="F93" s="5" t="str" cm="1">
        <f t="array" ref="F93">_xlfn.IFS(J93&lt;750,$N$3,J93&lt;2000,$N$4,J93&lt;4000,$N$5,J93&gt;4000,$N$6)</f>
        <v>$750 - $2.000</v>
      </c>
      <c r="G93" s="6" t="s">
        <v>160</v>
      </c>
      <c r="H93" s="7" t="s">
        <v>15</v>
      </c>
      <c r="I93" s="8">
        <v>696.1</v>
      </c>
      <c r="J93" s="9">
        <v>1030</v>
      </c>
      <c r="K93" s="9">
        <v>927</v>
      </c>
      <c r="L93" s="10"/>
    </row>
    <row r="94" spans="1:12" ht="13" x14ac:dyDescent="0.3">
      <c r="A94" s="5" t="s">
        <v>10</v>
      </c>
      <c r="B94" s="5" t="s">
        <v>11</v>
      </c>
      <c r="C94" s="5" t="s">
        <v>161</v>
      </c>
      <c r="D94" s="5" t="s">
        <v>156</v>
      </c>
      <c r="E94" s="5" t="s">
        <v>159</v>
      </c>
      <c r="F94" s="5" t="str" cm="1">
        <f t="array" ref="F94">_xlfn.IFS(J94&lt;750,$N$3,J94&lt;2000,$N$4,J94&lt;4000,$N$5,J94&gt;4000,$N$6)</f>
        <v>$750 - $2.000</v>
      </c>
      <c r="G94" s="6" t="s">
        <v>162</v>
      </c>
      <c r="H94" s="7" t="s">
        <v>15</v>
      </c>
      <c r="I94" s="8">
        <v>696.1</v>
      </c>
      <c r="J94" s="9">
        <v>1030</v>
      </c>
      <c r="K94" s="9">
        <v>927</v>
      </c>
      <c r="L94" s="10"/>
    </row>
    <row r="95" spans="1:12" ht="13" x14ac:dyDescent="0.3">
      <c r="A95" s="5" t="s">
        <v>10</v>
      </c>
      <c r="B95" s="5" t="s">
        <v>11</v>
      </c>
      <c r="C95" s="5" t="s">
        <v>17</v>
      </c>
      <c r="D95" s="5" t="s">
        <v>163</v>
      </c>
      <c r="E95" s="5" t="s">
        <v>164</v>
      </c>
      <c r="F95" s="5" t="str" cm="1">
        <f t="array" ref="F95">_xlfn.IFS(J95&lt;750,$N$3,J95&lt;2000,$N$4,J95&lt;4000,$N$5,J95&gt;4000,$N$6)</f>
        <v>$750 - $2.000</v>
      </c>
      <c r="G95" s="6" t="s">
        <v>165</v>
      </c>
      <c r="H95" s="7" t="s">
        <v>15</v>
      </c>
      <c r="I95" s="8">
        <v>798.66</v>
      </c>
      <c r="J95" s="9">
        <v>1170</v>
      </c>
      <c r="K95" s="9">
        <v>1053</v>
      </c>
      <c r="L95" s="10"/>
    </row>
    <row r="96" spans="1:12" ht="13" x14ac:dyDescent="0.3">
      <c r="A96" s="5" t="s">
        <v>10</v>
      </c>
      <c r="B96" s="5" t="s">
        <v>11</v>
      </c>
      <c r="C96" s="5" t="s">
        <v>161</v>
      </c>
      <c r="D96" s="5" t="s">
        <v>163</v>
      </c>
      <c r="E96" s="5" t="s">
        <v>164</v>
      </c>
      <c r="F96" s="5" t="str" cm="1">
        <f t="array" ref="F96">_xlfn.IFS(J96&lt;750,$N$3,J96&lt;2000,$N$4,J96&lt;4000,$N$5,J96&gt;4000,$N$6)</f>
        <v>$750 - $2.000</v>
      </c>
      <c r="G96" s="6" t="s">
        <v>166</v>
      </c>
      <c r="H96" s="7" t="s">
        <v>15</v>
      </c>
      <c r="I96" s="8">
        <v>798.66</v>
      </c>
      <c r="J96" s="9">
        <v>1170</v>
      </c>
      <c r="K96" s="9">
        <v>1053</v>
      </c>
      <c r="L96" s="10"/>
    </row>
    <row r="97" spans="1:12" ht="13" x14ac:dyDescent="0.3">
      <c r="A97" s="5" t="s">
        <v>10</v>
      </c>
      <c r="B97" s="5" t="s">
        <v>11</v>
      </c>
      <c r="C97" s="5" t="s">
        <v>17</v>
      </c>
      <c r="D97" s="5" t="s">
        <v>163</v>
      </c>
      <c r="E97" s="5" t="s">
        <v>167</v>
      </c>
      <c r="F97" s="5" t="str" cm="1">
        <f t="array" ref="F97">_xlfn.IFS(J97&lt;750,$N$3,J97&lt;2000,$N$4,J97&lt;4000,$N$5,J97&gt;4000,$N$6)</f>
        <v>$750 - $2.000</v>
      </c>
      <c r="G97" s="6" t="s">
        <v>168</v>
      </c>
      <c r="H97" s="7" t="s">
        <v>103</v>
      </c>
      <c r="I97" s="8">
        <v>1109.27</v>
      </c>
      <c r="J97" s="9">
        <v>1620</v>
      </c>
      <c r="K97" s="9">
        <v>1458</v>
      </c>
      <c r="L97" s="10"/>
    </row>
    <row r="98" spans="1:12" ht="13" x14ac:dyDescent="0.3">
      <c r="A98" s="5" t="s">
        <v>10</v>
      </c>
      <c r="B98" s="5" t="s">
        <v>11</v>
      </c>
      <c r="C98" s="5" t="s">
        <v>23</v>
      </c>
      <c r="D98" s="5" t="s">
        <v>169</v>
      </c>
      <c r="E98" s="5" t="s">
        <v>170</v>
      </c>
      <c r="F98" s="5" t="str" cm="1">
        <f t="array" ref="F98">_xlfn.IFS(J98&lt;750,$N$3,J98&lt;2000,$N$4,J98&lt;4000,$N$5,J98&gt;4000,$N$6)</f>
        <v>$750 - $2.000</v>
      </c>
      <c r="G98" s="6" t="s">
        <v>170</v>
      </c>
      <c r="H98" s="7" t="s">
        <v>15</v>
      </c>
      <c r="I98" s="8">
        <v>726.21</v>
      </c>
      <c r="J98" s="9">
        <v>1100</v>
      </c>
      <c r="K98" s="9">
        <v>990</v>
      </c>
      <c r="L98" s="10"/>
    </row>
    <row r="99" spans="1:12" ht="13" x14ac:dyDescent="0.3">
      <c r="A99" s="5" t="s">
        <v>10</v>
      </c>
      <c r="B99" s="5" t="s">
        <v>11</v>
      </c>
      <c r="C99" s="5" t="s">
        <v>17</v>
      </c>
      <c r="D99" s="5" t="s">
        <v>722</v>
      </c>
      <c r="E99" s="5" t="s">
        <v>721</v>
      </c>
      <c r="F99" s="5" t="str" cm="1">
        <f t="array" ref="F99">_xlfn.IFS(J99&lt;750,$N$3,J99&lt;2000,$N$4,J99&lt;4000,$N$5,J99&gt;4000,$N$6)</f>
        <v>$2.000 a $4.000</v>
      </c>
      <c r="G99" s="6" t="s">
        <v>668</v>
      </c>
      <c r="H99" s="7" t="s">
        <v>15</v>
      </c>
      <c r="I99" s="8">
        <v>2606.66</v>
      </c>
      <c r="J99" s="9">
        <v>3990</v>
      </c>
      <c r="K99" s="9">
        <v>3591</v>
      </c>
      <c r="L99" s="10"/>
    </row>
    <row r="100" spans="1:12" ht="13" x14ac:dyDescent="0.3">
      <c r="A100" s="5" t="s">
        <v>10</v>
      </c>
      <c r="B100" s="5" t="s">
        <v>11</v>
      </c>
      <c r="C100" s="5" t="s">
        <v>171</v>
      </c>
      <c r="D100" s="5" t="s">
        <v>172</v>
      </c>
      <c r="E100" s="5" t="s">
        <v>173</v>
      </c>
      <c r="F100" s="5" t="str" cm="1">
        <f t="array" ref="F100">_xlfn.IFS(J100&lt;750,$N$3,J100&lt;2000,$N$4,J100&lt;4000,$N$5,J100&gt;4000,$N$6)</f>
        <v>$750 - $2.000</v>
      </c>
      <c r="G100" s="6" t="s">
        <v>174</v>
      </c>
      <c r="H100" s="7" t="s">
        <v>15</v>
      </c>
      <c r="I100" s="8">
        <v>644.87603305785126</v>
      </c>
      <c r="J100" s="9">
        <v>950</v>
      </c>
      <c r="K100" s="9">
        <v>855</v>
      </c>
      <c r="L100" s="10"/>
    </row>
    <row r="101" spans="1:12" ht="13" x14ac:dyDescent="0.3">
      <c r="A101" s="5" t="s">
        <v>10</v>
      </c>
      <c r="B101" s="5" t="s">
        <v>11</v>
      </c>
      <c r="C101" s="5" t="s">
        <v>23</v>
      </c>
      <c r="D101" s="5" t="s">
        <v>172</v>
      </c>
      <c r="E101" s="5" t="s">
        <v>173</v>
      </c>
      <c r="F101" s="5" t="str" cm="1">
        <f t="array" ref="F101">_xlfn.IFS(J101&lt;750,$N$3,J101&lt;2000,$N$4,J101&lt;4000,$N$5,J101&gt;4000,$N$6)</f>
        <v>$2.000 a $4.000</v>
      </c>
      <c r="G101" s="4" t="s">
        <v>175</v>
      </c>
      <c r="H101" s="7" t="s">
        <v>15</v>
      </c>
      <c r="I101" s="8">
        <v>1575</v>
      </c>
      <c r="J101" s="9">
        <v>2330</v>
      </c>
      <c r="K101" s="9">
        <v>2097</v>
      </c>
      <c r="L101" s="10"/>
    </row>
    <row r="102" spans="1:12" ht="13" x14ac:dyDescent="0.3">
      <c r="A102" s="5" t="s">
        <v>10</v>
      </c>
      <c r="B102" s="5" t="s">
        <v>11</v>
      </c>
      <c r="C102" s="5" t="s">
        <v>17</v>
      </c>
      <c r="D102" s="5" t="s">
        <v>172</v>
      </c>
      <c r="E102" s="5" t="s">
        <v>172</v>
      </c>
      <c r="F102" s="5" t="str" cm="1">
        <f t="array" ref="F102">_xlfn.IFS(J102&lt;750,$N$3,J102&lt;2000,$N$4,J102&lt;4000,$N$5,J102&gt;4000,$N$6)</f>
        <v>$4.000 en adelante</v>
      </c>
      <c r="G102" s="6" t="s">
        <v>176</v>
      </c>
      <c r="H102" s="7" t="s">
        <v>15</v>
      </c>
      <c r="I102" s="8">
        <v>2850.9917355371904</v>
      </c>
      <c r="J102" s="9">
        <v>4100</v>
      </c>
      <c r="K102" s="9">
        <v>3690</v>
      </c>
      <c r="L102" s="10"/>
    </row>
    <row r="103" spans="1:12" ht="13" x14ac:dyDescent="0.3">
      <c r="A103" s="5" t="s">
        <v>10</v>
      </c>
      <c r="B103" s="5" t="s">
        <v>11</v>
      </c>
      <c r="C103" s="5"/>
      <c r="D103" s="5" t="s">
        <v>177</v>
      </c>
      <c r="E103" s="5" t="s">
        <v>178</v>
      </c>
      <c r="F103" s="5" t="str" cm="1">
        <f t="array" ref="F103">_xlfn.IFS(J103&lt;750,$N$3,J103&lt;2000,$N$4,J103&lt;4000,$N$5,J103&gt;4000,$N$6)</f>
        <v>$750 - $2.000</v>
      </c>
      <c r="G103" s="6" t="s">
        <v>179</v>
      </c>
      <c r="H103" s="7" t="s">
        <v>103</v>
      </c>
      <c r="I103" s="8">
        <v>1265.45</v>
      </c>
      <c r="J103" s="9">
        <v>1770</v>
      </c>
      <c r="K103" s="9">
        <v>1593</v>
      </c>
      <c r="L103" s="10"/>
    </row>
    <row r="104" spans="1:12" ht="13" x14ac:dyDescent="0.3">
      <c r="A104" s="5" t="s">
        <v>10</v>
      </c>
      <c r="B104" s="5" t="s">
        <v>11</v>
      </c>
      <c r="C104" s="5"/>
      <c r="D104" s="5" t="s">
        <v>177</v>
      </c>
      <c r="E104" s="5" t="s">
        <v>180</v>
      </c>
      <c r="F104" s="5" t="str" cm="1">
        <f t="array" ref="F104">_xlfn.IFS(J104&lt;750,$N$3,J104&lt;2000,$N$4,J104&lt;4000,$N$5,J104&gt;4000,$N$6)</f>
        <v>$750 - $2.000</v>
      </c>
      <c r="G104" s="6" t="s">
        <v>181</v>
      </c>
      <c r="H104" s="7" t="s">
        <v>103</v>
      </c>
      <c r="I104" s="8">
        <v>938.57</v>
      </c>
      <c r="J104" s="9">
        <v>1330</v>
      </c>
      <c r="K104" s="9">
        <v>1197</v>
      </c>
      <c r="L104" s="10"/>
    </row>
    <row r="105" spans="1:12" ht="13" x14ac:dyDescent="0.3">
      <c r="A105" s="5" t="s">
        <v>10</v>
      </c>
      <c r="B105" s="5" t="s">
        <v>11</v>
      </c>
      <c r="C105" s="5"/>
      <c r="D105" s="5" t="s">
        <v>177</v>
      </c>
      <c r="E105" s="5" t="s">
        <v>182</v>
      </c>
      <c r="F105" s="5" t="str" cm="1">
        <f t="array" ref="F105">_xlfn.IFS(J105&lt;750,$N$3,J105&lt;2000,$N$4,J105&lt;4000,$N$5,J105&gt;4000,$N$6)</f>
        <v>$750 - $2.000</v>
      </c>
      <c r="G105" s="6" t="s">
        <v>182</v>
      </c>
      <c r="H105" s="7" t="s">
        <v>103</v>
      </c>
      <c r="I105" s="8">
        <v>769.8</v>
      </c>
      <c r="J105" s="9">
        <v>1100</v>
      </c>
      <c r="K105" s="9">
        <v>990</v>
      </c>
      <c r="L105" s="10"/>
    </row>
    <row r="106" spans="1:12" ht="13" x14ac:dyDescent="0.3">
      <c r="A106" s="5" t="s">
        <v>10</v>
      </c>
      <c r="B106" s="5" t="s">
        <v>11</v>
      </c>
      <c r="C106" s="5" t="s">
        <v>12</v>
      </c>
      <c r="D106" s="5" t="s">
        <v>183</v>
      </c>
      <c r="E106" s="5" t="s">
        <v>184</v>
      </c>
      <c r="F106" s="5" t="str" cm="1">
        <f t="array" ref="F106">_xlfn.IFS(J106&lt;750,$N$3,J106&lt;2000,$N$4,J106&lt;4000,$N$5,J106&gt;4000,$N$6)</f>
        <v>$750 - $2.000</v>
      </c>
      <c r="G106" s="6" t="s">
        <v>740</v>
      </c>
      <c r="H106" s="7" t="s">
        <v>15</v>
      </c>
      <c r="I106" s="8">
        <v>704.65</v>
      </c>
      <c r="J106" s="9">
        <v>1100</v>
      </c>
      <c r="K106" s="9">
        <v>990</v>
      </c>
      <c r="L106" s="10"/>
    </row>
    <row r="107" spans="1:12" ht="13" x14ac:dyDescent="0.3">
      <c r="A107" s="5" t="s">
        <v>10</v>
      </c>
      <c r="B107" s="5" t="s">
        <v>11</v>
      </c>
      <c r="C107" s="5" t="s">
        <v>24</v>
      </c>
      <c r="D107" s="5" t="s">
        <v>183</v>
      </c>
      <c r="E107" s="5" t="s">
        <v>184</v>
      </c>
      <c r="F107" s="5" t="str" cm="1">
        <f t="array" ref="F107">_xlfn.IFS(J107&lt;750,$N$3,J107&lt;2000,$N$4,J107&lt;4000,$N$5,J107&gt;4000,$N$6)</f>
        <v>$750 - $2.000</v>
      </c>
      <c r="G107" s="6" t="s">
        <v>765</v>
      </c>
      <c r="H107" s="7" t="s">
        <v>15</v>
      </c>
      <c r="I107" s="8">
        <v>704.65</v>
      </c>
      <c r="J107" s="9">
        <v>1100</v>
      </c>
      <c r="K107" s="9">
        <v>990</v>
      </c>
      <c r="L107" s="10"/>
    </row>
    <row r="108" spans="1:12" ht="13" x14ac:dyDescent="0.3">
      <c r="A108" s="5" t="s">
        <v>10</v>
      </c>
      <c r="B108" s="5" t="s">
        <v>11</v>
      </c>
      <c r="C108" s="5" t="s">
        <v>17</v>
      </c>
      <c r="D108" s="5" t="s">
        <v>183</v>
      </c>
      <c r="E108" s="5" t="s">
        <v>184</v>
      </c>
      <c r="F108" s="5" t="str" cm="1">
        <f t="array" ref="F108">_xlfn.IFS(J108&lt;750,$N$3,J108&lt;2000,$N$4,J108&lt;4000,$N$5,J108&gt;4000,$N$6)</f>
        <v>$750 - $2.000</v>
      </c>
      <c r="G108" s="6" t="s">
        <v>187</v>
      </c>
      <c r="H108" s="7" t="s">
        <v>15</v>
      </c>
      <c r="I108" s="8">
        <v>704.65</v>
      </c>
      <c r="J108" s="9">
        <v>1100</v>
      </c>
      <c r="K108" s="9">
        <v>990</v>
      </c>
      <c r="L108" s="10"/>
    </row>
    <row r="109" spans="1:12" ht="13" x14ac:dyDescent="0.3">
      <c r="A109" s="5" t="s">
        <v>10</v>
      </c>
      <c r="B109" s="5" t="s">
        <v>19</v>
      </c>
      <c r="C109" s="5"/>
      <c r="D109" s="5" t="s">
        <v>183</v>
      </c>
      <c r="E109" s="5" t="s">
        <v>188</v>
      </c>
      <c r="F109" s="5" t="str" cm="1">
        <f t="array" ref="F109">_xlfn.IFS(J109&lt;750,$N$3,J109&lt;2000,$N$4,J109&lt;4000,$N$5,J109&gt;4000,$N$6)</f>
        <v>$2.000 a $4.000</v>
      </c>
      <c r="G109" s="6" t="s">
        <v>189</v>
      </c>
      <c r="H109" s="7" t="s">
        <v>15</v>
      </c>
      <c r="I109" s="8">
        <v>1425</v>
      </c>
      <c r="J109" s="9">
        <v>2100</v>
      </c>
      <c r="K109" s="9">
        <v>1890</v>
      </c>
      <c r="L109" s="10"/>
    </row>
    <row r="110" spans="1:12" ht="13" x14ac:dyDescent="0.3">
      <c r="A110" s="5" t="s">
        <v>10</v>
      </c>
      <c r="B110" s="5" t="s">
        <v>11</v>
      </c>
      <c r="C110" s="5"/>
      <c r="D110" s="5" t="s">
        <v>183</v>
      </c>
      <c r="E110" s="5" t="s">
        <v>190</v>
      </c>
      <c r="F110" s="5" t="str" cm="1">
        <f t="array" ref="F110">_xlfn.IFS(J110&lt;750,$N$3,J110&lt;2000,$N$4,J110&lt;4000,$N$5,J110&gt;4000,$N$6)</f>
        <v>$2.000 a $4.000</v>
      </c>
      <c r="G110" s="6" t="s">
        <v>191</v>
      </c>
      <c r="H110" s="7" t="s">
        <v>15</v>
      </c>
      <c r="I110" s="8">
        <v>1425</v>
      </c>
      <c r="J110" s="9">
        <v>2100</v>
      </c>
      <c r="K110" s="9">
        <v>1890</v>
      </c>
      <c r="L110" s="10"/>
    </row>
    <row r="111" spans="1:12" ht="13" x14ac:dyDescent="0.3">
      <c r="A111" s="5" t="s">
        <v>10</v>
      </c>
      <c r="B111" s="5" t="s">
        <v>11</v>
      </c>
      <c r="C111" s="5" t="s">
        <v>37</v>
      </c>
      <c r="D111" s="5" t="s">
        <v>183</v>
      </c>
      <c r="E111" s="5" t="s">
        <v>192</v>
      </c>
      <c r="F111" s="5" t="str" cm="1">
        <f t="array" ref="F111">_xlfn.IFS(J111&lt;750,$N$3,J111&lt;2000,$N$4,J111&lt;4000,$N$5,J111&gt;4000,$N$6)</f>
        <v>$2.000 a $4.000</v>
      </c>
      <c r="G111" s="6" t="s">
        <v>193</v>
      </c>
      <c r="H111" s="7" t="s">
        <v>15</v>
      </c>
      <c r="I111" s="8">
        <v>1580</v>
      </c>
      <c r="J111" s="9">
        <v>2330</v>
      </c>
      <c r="K111" s="9">
        <v>2097</v>
      </c>
      <c r="L111" s="10"/>
    </row>
    <row r="112" spans="1:12" ht="13" x14ac:dyDescent="0.3">
      <c r="A112" s="5" t="s">
        <v>10</v>
      </c>
      <c r="B112" s="5" t="s">
        <v>11</v>
      </c>
      <c r="C112" s="5"/>
      <c r="D112" s="5" t="s">
        <v>183</v>
      </c>
      <c r="E112" s="5" t="s">
        <v>194</v>
      </c>
      <c r="F112" s="5" t="str" cm="1">
        <f t="array" ref="F112">_xlfn.IFS(J112&lt;750,$N$3,J112&lt;2000,$N$4,J112&lt;4000,$N$5,J112&gt;4000,$N$6)</f>
        <v>$4.000 en adelante</v>
      </c>
      <c r="G112" s="6" t="s">
        <v>195</v>
      </c>
      <c r="H112" s="7" t="s">
        <v>15</v>
      </c>
      <c r="I112" s="8">
        <v>3350</v>
      </c>
      <c r="J112" s="9">
        <v>5100</v>
      </c>
      <c r="K112" s="9">
        <v>4590</v>
      </c>
      <c r="L112" s="10"/>
    </row>
    <row r="113" spans="1:12" ht="13" x14ac:dyDescent="0.3">
      <c r="A113" s="5" t="s">
        <v>10</v>
      </c>
      <c r="B113" s="5" t="s">
        <v>11</v>
      </c>
      <c r="C113" s="5" t="s">
        <v>17</v>
      </c>
      <c r="D113" s="5" t="s">
        <v>196</v>
      </c>
      <c r="E113" s="5" t="s">
        <v>196</v>
      </c>
      <c r="F113" s="5" t="str" cm="1">
        <f t="array" ref="F113">_xlfn.IFS(J113&lt;750,$N$3,J113&lt;2000,$N$4,J113&lt;4000,$N$5,J113&gt;4000,$N$6)</f>
        <v>$750 - $2.000</v>
      </c>
      <c r="G113" s="6" t="s">
        <v>197</v>
      </c>
      <c r="H113" s="7" t="s">
        <v>15</v>
      </c>
      <c r="I113" s="8">
        <v>606.06060606060601</v>
      </c>
      <c r="J113" s="9">
        <v>1330</v>
      </c>
      <c r="K113" s="9">
        <v>1197</v>
      </c>
      <c r="L113" s="10"/>
    </row>
    <row r="114" spans="1:12" ht="13" x14ac:dyDescent="0.3">
      <c r="A114" s="5" t="s">
        <v>10</v>
      </c>
      <c r="B114" s="5" t="s">
        <v>11</v>
      </c>
      <c r="C114" s="5" t="s">
        <v>17</v>
      </c>
      <c r="D114" s="5" t="s">
        <v>198</v>
      </c>
      <c r="E114" s="5" t="s">
        <v>198</v>
      </c>
      <c r="F114" s="5" t="str" cm="1">
        <f t="array" ref="F114">_xlfn.IFS(J114&lt;750,$N$3,J114&lt;2000,$N$4,J114&lt;4000,$N$5,J114&gt;4000,$N$6)</f>
        <v>$0 - $750</v>
      </c>
      <c r="G114" s="4" t="s">
        <v>199</v>
      </c>
      <c r="H114" s="7" t="s">
        <v>15</v>
      </c>
      <c r="I114" s="8">
        <v>450.12</v>
      </c>
      <c r="J114" s="9">
        <v>730</v>
      </c>
      <c r="K114" s="9">
        <v>657</v>
      </c>
      <c r="L114" s="10"/>
    </row>
    <row r="115" spans="1:12" ht="13" x14ac:dyDescent="0.3">
      <c r="A115" s="5" t="s">
        <v>10</v>
      </c>
      <c r="B115" s="5" t="s">
        <v>11</v>
      </c>
      <c r="C115" s="5" t="s">
        <v>24</v>
      </c>
      <c r="D115" s="5" t="s">
        <v>198</v>
      </c>
      <c r="E115" s="5" t="s">
        <v>198</v>
      </c>
      <c r="F115" s="5" t="str" cm="1">
        <f t="array" ref="F115">_xlfn.IFS(J115&lt;750,$N$3,J115&lt;2000,$N$4,J115&lt;4000,$N$5,J115&gt;4000,$N$6)</f>
        <v>$0 - $750</v>
      </c>
      <c r="G115" s="4" t="s">
        <v>741</v>
      </c>
      <c r="H115" s="7" t="s">
        <v>15</v>
      </c>
      <c r="I115" s="8">
        <v>450.12</v>
      </c>
      <c r="J115" s="9">
        <v>730</v>
      </c>
      <c r="K115" s="9">
        <v>657</v>
      </c>
      <c r="L115" s="10"/>
    </row>
    <row r="116" spans="1:12" ht="13" x14ac:dyDescent="0.3">
      <c r="A116" s="5" t="s">
        <v>10</v>
      </c>
      <c r="B116" s="5" t="s">
        <v>19</v>
      </c>
      <c r="C116" s="5" t="s">
        <v>20</v>
      </c>
      <c r="D116" s="5" t="s">
        <v>198</v>
      </c>
      <c r="E116" s="5" t="s">
        <v>198</v>
      </c>
      <c r="F116" s="5" t="str" cm="1">
        <f t="array" ref="F116">_xlfn.IFS(J116&lt;750,$N$3,J116&lt;2000,$N$4,J116&lt;4000,$N$5,J116&gt;4000,$N$6)</f>
        <v>$0 - $750</v>
      </c>
      <c r="G116" s="4" t="s">
        <v>201</v>
      </c>
      <c r="H116" s="7" t="s">
        <v>15</v>
      </c>
      <c r="I116" s="8">
        <v>450.12</v>
      </c>
      <c r="J116" s="9">
        <v>730</v>
      </c>
      <c r="K116" s="9">
        <v>657</v>
      </c>
      <c r="L116" s="10"/>
    </row>
    <row r="117" spans="1:12" ht="13" x14ac:dyDescent="0.3">
      <c r="A117" s="5" t="s">
        <v>10</v>
      </c>
      <c r="B117" s="5" t="s">
        <v>11</v>
      </c>
      <c r="C117" s="5" t="s">
        <v>17</v>
      </c>
      <c r="D117" s="5" t="s">
        <v>198</v>
      </c>
      <c r="E117" s="5" t="s">
        <v>202</v>
      </c>
      <c r="F117" s="5" t="str" cm="1">
        <f t="array" ref="F117">_xlfn.IFS(J117&lt;750,$N$3,J117&lt;2000,$N$4,J117&lt;4000,$N$5,J117&gt;4000,$N$6)</f>
        <v>$750 - $2.000</v>
      </c>
      <c r="G117" s="4" t="s">
        <v>203</v>
      </c>
      <c r="H117" s="7" t="s">
        <v>15</v>
      </c>
      <c r="I117" s="8">
        <v>1248</v>
      </c>
      <c r="J117" s="9">
        <v>1950</v>
      </c>
      <c r="K117" s="9">
        <v>1755</v>
      </c>
      <c r="L117" s="10"/>
    </row>
    <row r="118" spans="1:12" ht="13" x14ac:dyDescent="0.3">
      <c r="A118" s="5" t="s">
        <v>10</v>
      </c>
      <c r="B118" s="5" t="s">
        <v>11</v>
      </c>
      <c r="C118" s="5"/>
      <c r="D118" s="5" t="s">
        <v>198</v>
      </c>
      <c r="E118" s="5" t="s">
        <v>204</v>
      </c>
      <c r="F118" s="5" t="str" cm="1">
        <f t="array" ref="F118">_xlfn.IFS(J118&lt;750,$N$3,J118&lt;2000,$N$4,J118&lt;4000,$N$5,J118&gt;4000,$N$6)</f>
        <v>$2.000 a $4.000</v>
      </c>
      <c r="G118" s="4" t="s">
        <v>204</v>
      </c>
      <c r="H118" s="7" t="s">
        <v>15</v>
      </c>
      <c r="I118" s="8">
        <v>1800</v>
      </c>
      <c r="J118" s="9">
        <v>2770</v>
      </c>
      <c r="K118" s="9">
        <v>2493</v>
      </c>
      <c r="L118" s="10"/>
    </row>
    <row r="119" spans="1:12" ht="13" x14ac:dyDescent="0.3">
      <c r="A119" s="5" t="s">
        <v>10</v>
      </c>
      <c r="B119" s="5" t="s">
        <v>19</v>
      </c>
      <c r="C119" s="5" t="s">
        <v>20</v>
      </c>
      <c r="D119" s="5" t="s">
        <v>205</v>
      </c>
      <c r="E119" s="5" t="s">
        <v>206</v>
      </c>
      <c r="F119" s="5" t="e" cm="1">
        <f t="array" ref="F119">_xlfn.IFS(J119&lt;750,$N$3,J119&lt;2000,$N$4,J119&lt;4000,$N$5,J119&gt;4000,$N$6)</f>
        <v>#N/A</v>
      </c>
      <c r="G119" s="4" t="s">
        <v>207</v>
      </c>
      <c r="H119" s="7" t="s">
        <v>15</v>
      </c>
      <c r="I119" s="8" t="e">
        <v>#N/A</v>
      </c>
      <c r="J119" s="9" t="e">
        <v>#N/A</v>
      </c>
      <c r="K119" s="9" t="e">
        <v>#N/A</v>
      </c>
      <c r="L119" s="10"/>
    </row>
    <row r="120" spans="1:12" ht="13" x14ac:dyDescent="0.3">
      <c r="A120" s="5" t="s">
        <v>10</v>
      </c>
      <c r="B120" s="5" t="s">
        <v>11</v>
      </c>
      <c r="C120" s="5" t="s">
        <v>17</v>
      </c>
      <c r="D120" s="5" t="s">
        <v>205</v>
      </c>
      <c r="E120" s="5" t="s">
        <v>206</v>
      </c>
      <c r="F120" s="5" t="e" cm="1">
        <f t="array" ref="F120">_xlfn.IFS(J120&lt;750,$N$3,J120&lt;2000,$N$4,J120&lt;4000,$N$5,J120&gt;4000,$N$6)</f>
        <v>#N/A</v>
      </c>
      <c r="G120" s="4" t="s">
        <v>208</v>
      </c>
      <c r="H120" s="7" t="s">
        <v>15</v>
      </c>
      <c r="I120" s="8" t="e">
        <v>#N/A</v>
      </c>
      <c r="J120" s="9" t="e">
        <v>#N/A</v>
      </c>
      <c r="K120" s="9" t="e">
        <v>#N/A</v>
      </c>
      <c r="L120" s="10"/>
    </row>
    <row r="121" spans="1:12" ht="13" x14ac:dyDescent="0.3">
      <c r="A121" s="5" t="s">
        <v>10</v>
      </c>
      <c r="B121" s="5" t="s">
        <v>11</v>
      </c>
      <c r="C121" s="5" t="s">
        <v>17</v>
      </c>
      <c r="D121" s="5" t="s">
        <v>205</v>
      </c>
      <c r="E121" s="5" t="s">
        <v>209</v>
      </c>
      <c r="F121" s="5" t="str" cm="1">
        <f t="array" ref="F121">_xlfn.IFS(J121&lt;750,$N$3,J121&lt;2000,$N$4,J121&lt;4000,$N$5,J121&gt;4000,$N$6)</f>
        <v>$750 - $2.000</v>
      </c>
      <c r="G121" s="6" t="s">
        <v>210</v>
      </c>
      <c r="H121" s="7" t="s">
        <v>15</v>
      </c>
      <c r="I121" s="8">
        <v>576</v>
      </c>
      <c r="J121" s="9">
        <v>990</v>
      </c>
      <c r="K121" s="9">
        <v>891</v>
      </c>
      <c r="L121" s="10"/>
    </row>
    <row r="122" spans="1:12" ht="13" x14ac:dyDescent="0.3">
      <c r="A122" s="5" t="s">
        <v>10</v>
      </c>
      <c r="B122" s="5" t="s">
        <v>11</v>
      </c>
      <c r="C122" s="5" t="s">
        <v>12</v>
      </c>
      <c r="D122" s="5" t="s">
        <v>205</v>
      </c>
      <c r="E122" s="5" t="s">
        <v>209</v>
      </c>
      <c r="F122" s="5" t="str" cm="1">
        <f t="array" ref="F122">_xlfn.IFS(J122&lt;750,$N$3,J122&lt;2000,$N$4,J122&lt;4000,$N$5,J122&gt;4000,$N$6)</f>
        <v>$750 - $2.000</v>
      </c>
      <c r="G122" s="6" t="s">
        <v>742</v>
      </c>
      <c r="H122" s="7" t="s">
        <v>15</v>
      </c>
      <c r="I122" s="8">
        <v>576</v>
      </c>
      <c r="J122" s="9">
        <v>990</v>
      </c>
      <c r="K122" s="9">
        <v>891</v>
      </c>
      <c r="L122" s="10"/>
    </row>
    <row r="123" spans="1:12" ht="13" x14ac:dyDescent="0.3">
      <c r="A123" s="5" t="s">
        <v>10</v>
      </c>
      <c r="B123" s="5" t="s">
        <v>11</v>
      </c>
      <c r="C123" s="5" t="s">
        <v>24</v>
      </c>
      <c r="D123" s="5" t="s">
        <v>205</v>
      </c>
      <c r="E123" s="5" t="s">
        <v>209</v>
      </c>
      <c r="F123" s="5" t="e" cm="1">
        <f t="array" ref="F123">_xlfn.IFS(J123&lt;750,$N$3,J123&lt;2000,$N$4,J123&lt;4000,$N$5,J123&gt;4000,$N$6)</f>
        <v>#N/A</v>
      </c>
      <c r="G123" s="4" t="s">
        <v>766</v>
      </c>
      <c r="H123" s="7" t="s">
        <v>15</v>
      </c>
      <c r="I123" s="8" t="e">
        <v>#N/A</v>
      </c>
      <c r="J123" s="9" t="e">
        <v>#N/A</v>
      </c>
      <c r="K123" s="9" t="e">
        <v>#N/A</v>
      </c>
      <c r="L123" s="10"/>
    </row>
    <row r="124" spans="1:12" ht="13" x14ac:dyDescent="0.3">
      <c r="A124" s="5" t="s">
        <v>10</v>
      </c>
      <c r="B124" s="5" t="s">
        <v>11</v>
      </c>
      <c r="C124" s="5"/>
      <c r="D124" s="5" t="s">
        <v>205</v>
      </c>
      <c r="E124" s="5" t="s">
        <v>212</v>
      </c>
      <c r="F124" s="5" t="str" cm="1">
        <f t="array" ref="F124">_xlfn.IFS(J124&lt;750,$N$3,J124&lt;2000,$N$4,J124&lt;4000,$N$5,J124&gt;4000,$N$6)</f>
        <v>$2.000 a $4.000</v>
      </c>
      <c r="G124" s="6" t="s">
        <v>213</v>
      </c>
      <c r="H124" s="7" t="s">
        <v>15</v>
      </c>
      <c r="I124" s="8">
        <v>1259.1074380165289</v>
      </c>
      <c r="J124" s="9">
        <v>2220</v>
      </c>
      <c r="K124" s="9">
        <v>1998</v>
      </c>
      <c r="L124" s="10"/>
    </row>
    <row r="125" spans="1:12" ht="13" x14ac:dyDescent="0.3">
      <c r="A125" s="5" t="s">
        <v>10</v>
      </c>
      <c r="B125" s="5" t="s">
        <v>11</v>
      </c>
      <c r="C125" s="5"/>
      <c r="D125" s="5" t="s">
        <v>205</v>
      </c>
      <c r="E125" s="5" t="s">
        <v>214</v>
      </c>
      <c r="F125" s="5" t="str" cm="1">
        <f t="array" ref="F125">_xlfn.IFS(J125&lt;750,$N$3,J125&lt;2000,$N$4,J125&lt;4000,$N$5,J125&gt;4000,$N$6)</f>
        <v>$2.000 a $4.000</v>
      </c>
      <c r="G125" s="6" t="s">
        <v>215</v>
      </c>
      <c r="H125" s="7" t="s">
        <v>15</v>
      </c>
      <c r="I125" s="8">
        <v>1606.611570247934</v>
      </c>
      <c r="J125" s="9">
        <v>2880</v>
      </c>
      <c r="K125" s="9">
        <v>2592</v>
      </c>
      <c r="L125" s="10"/>
    </row>
    <row r="126" spans="1:12" ht="13" x14ac:dyDescent="0.3">
      <c r="A126" s="5" t="s">
        <v>10</v>
      </c>
      <c r="B126" s="5" t="s">
        <v>11</v>
      </c>
      <c r="C126" s="5"/>
      <c r="D126" s="5" t="s">
        <v>205</v>
      </c>
      <c r="E126" s="5" t="s">
        <v>216</v>
      </c>
      <c r="F126" s="5" t="e" cm="1">
        <f t="array" ref="F126">_xlfn.IFS(J126&lt;750,$N$3,J126&lt;2000,$N$4,J126&lt;4000,$N$5,J126&gt;4000,$N$6)</f>
        <v>#N/A</v>
      </c>
      <c r="G126" s="4" t="s">
        <v>216</v>
      </c>
      <c r="H126" s="7" t="s">
        <v>15</v>
      </c>
      <c r="I126" s="8" t="e">
        <v>#N/A</v>
      </c>
      <c r="J126" s="9" t="e">
        <v>#N/A</v>
      </c>
      <c r="K126" s="9" t="e">
        <v>#N/A</v>
      </c>
      <c r="L126" s="10"/>
    </row>
    <row r="127" spans="1:12" ht="13" x14ac:dyDescent="0.3">
      <c r="A127" s="5" t="s">
        <v>10</v>
      </c>
      <c r="B127" s="5" t="s">
        <v>11</v>
      </c>
      <c r="C127" s="5" t="s">
        <v>17</v>
      </c>
      <c r="D127" s="5" t="s">
        <v>725</v>
      </c>
      <c r="E127" s="5" t="s">
        <v>724</v>
      </c>
      <c r="F127" s="5" t="str" cm="1">
        <f t="array" ref="F127">_xlfn.IFS(J127&lt;750,$N$3,J127&lt;2000,$N$4,J127&lt;4000,$N$5,J127&gt;4000,$N$6)</f>
        <v>$750 - $2.000</v>
      </c>
      <c r="G127" s="4" t="s">
        <v>669</v>
      </c>
      <c r="H127" s="7" t="s">
        <v>15</v>
      </c>
      <c r="I127" s="8">
        <v>511.11570247933878</v>
      </c>
      <c r="J127" s="9">
        <v>770</v>
      </c>
      <c r="K127" s="9">
        <v>693</v>
      </c>
      <c r="L127" s="10"/>
    </row>
    <row r="128" spans="1:12" ht="13" x14ac:dyDescent="0.3">
      <c r="A128" s="5" t="s">
        <v>10</v>
      </c>
      <c r="B128" s="5" t="s">
        <v>11</v>
      </c>
      <c r="C128" s="5" t="s">
        <v>12</v>
      </c>
      <c r="D128" s="5" t="s">
        <v>725</v>
      </c>
      <c r="E128" s="5" t="s">
        <v>724</v>
      </c>
      <c r="F128" s="5" t="str" cm="1">
        <f t="array" ref="F128">_xlfn.IFS(J128&lt;750,$N$3,J128&lt;2000,$N$4,J128&lt;4000,$N$5,J128&gt;4000,$N$6)</f>
        <v>$750 - $2.000</v>
      </c>
      <c r="G128" s="4" t="s">
        <v>670</v>
      </c>
      <c r="H128" s="7" t="s">
        <v>15</v>
      </c>
      <c r="I128" s="8">
        <v>511.11570247933878</v>
      </c>
      <c r="J128" s="9">
        <v>770</v>
      </c>
      <c r="K128" s="9">
        <v>693</v>
      </c>
      <c r="L128" s="10"/>
    </row>
    <row r="129" spans="1:12" ht="13" x14ac:dyDescent="0.3">
      <c r="A129" s="5" t="s">
        <v>10</v>
      </c>
      <c r="B129" s="5" t="s">
        <v>19</v>
      </c>
      <c r="C129" s="5" t="s">
        <v>776</v>
      </c>
      <c r="D129" s="5" t="s">
        <v>725</v>
      </c>
      <c r="E129" s="5" t="s">
        <v>724</v>
      </c>
      <c r="F129" s="5" t="str" cm="1">
        <f t="array" ref="F129">_xlfn.IFS(J129&lt;750,$N$3,J129&lt;2000,$N$4,J129&lt;4000,$N$5,J129&gt;4000,$N$6)</f>
        <v>$0 - $750</v>
      </c>
      <c r="G129" s="4" t="s">
        <v>671</v>
      </c>
      <c r="H129" s="7" t="s">
        <v>15</v>
      </c>
      <c r="I129" s="8">
        <v>419.84504132231399</v>
      </c>
      <c r="J129" s="9">
        <v>660</v>
      </c>
      <c r="K129" s="9">
        <v>594</v>
      </c>
      <c r="L129" s="10"/>
    </row>
    <row r="130" spans="1:12" ht="13" x14ac:dyDescent="0.3">
      <c r="A130" s="5" t="s">
        <v>10</v>
      </c>
      <c r="B130" s="5" t="s">
        <v>28</v>
      </c>
      <c r="C130" s="5" t="s">
        <v>17</v>
      </c>
      <c r="D130" s="5" t="s">
        <v>725</v>
      </c>
      <c r="E130" s="5" t="s">
        <v>724</v>
      </c>
      <c r="F130" s="5" t="str" cm="1">
        <f t="array" ref="F130">_xlfn.IFS(J130&lt;750,$N$3,J130&lt;2000,$N$4,J130&lt;4000,$N$5,J130&gt;4000,$N$6)</f>
        <v>$0 - $750</v>
      </c>
      <c r="G130" s="4" t="s">
        <v>672</v>
      </c>
      <c r="H130" s="7" t="s">
        <v>15</v>
      </c>
      <c r="I130" s="8">
        <v>419.84504132231399</v>
      </c>
      <c r="J130" s="9">
        <v>660</v>
      </c>
      <c r="K130" s="9">
        <v>594</v>
      </c>
      <c r="L130" s="10"/>
    </row>
    <row r="131" spans="1:12" ht="13" x14ac:dyDescent="0.3">
      <c r="A131" s="5" t="s">
        <v>10</v>
      </c>
      <c r="B131" s="5" t="s">
        <v>11</v>
      </c>
      <c r="C131" s="5" t="s">
        <v>17</v>
      </c>
      <c r="D131" s="5" t="s">
        <v>725</v>
      </c>
      <c r="E131" s="5" t="s">
        <v>725</v>
      </c>
      <c r="F131" s="5" t="str" cm="1">
        <f t="array" ref="F131">_xlfn.IFS(J131&lt;750,$N$3,J131&lt;2000,$N$4,J131&lt;4000,$N$5,J131&gt;4000,$N$6)</f>
        <v>$750 - $2.000</v>
      </c>
      <c r="G131" s="4" t="s">
        <v>673</v>
      </c>
      <c r="H131" s="7" t="s">
        <v>15</v>
      </c>
      <c r="I131" s="8">
        <v>1125.6714876033056</v>
      </c>
      <c r="J131" s="9">
        <v>1660</v>
      </c>
      <c r="K131" s="9">
        <v>1494</v>
      </c>
      <c r="L131" s="10"/>
    </row>
    <row r="132" spans="1:12" ht="13" x14ac:dyDescent="0.3">
      <c r="A132" s="5" t="s">
        <v>10</v>
      </c>
      <c r="B132" s="5" t="s">
        <v>11</v>
      </c>
      <c r="C132" s="5" t="s">
        <v>12</v>
      </c>
      <c r="D132" s="5" t="s">
        <v>725</v>
      </c>
      <c r="E132" s="5" t="s">
        <v>725</v>
      </c>
      <c r="F132" s="5" t="str" cm="1">
        <f t="array" ref="F132">_xlfn.IFS(J132&lt;750,$N$3,J132&lt;2000,$N$4,J132&lt;4000,$N$5,J132&gt;4000,$N$6)</f>
        <v>$750 - $2.000</v>
      </c>
      <c r="G132" s="4" t="s">
        <v>743</v>
      </c>
      <c r="H132" s="7" t="s">
        <v>15</v>
      </c>
      <c r="I132" s="8">
        <v>1064.8243801652891</v>
      </c>
      <c r="J132" s="9">
        <v>1550</v>
      </c>
      <c r="K132" s="9">
        <v>1395</v>
      </c>
      <c r="L132" s="10"/>
    </row>
    <row r="133" spans="1:12" ht="13" x14ac:dyDescent="0.3">
      <c r="A133" s="5" t="s">
        <v>10</v>
      </c>
      <c r="B133" s="5" t="s">
        <v>11</v>
      </c>
      <c r="C133" s="5" t="s">
        <v>60</v>
      </c>
      <c r="D133" s="5" t="s">
        <v>725</v>
      </c>
      <c r="E133" s="5" t="s">
        <v>725</v>
      </c>
      <c r="F133" s="5" t="str" cm="1">
        <f t="array" ref="F133">_xlfn.IFS(J133&lt;750,$N$3,J133&lt;2000,$N$4,J133&lt;4000,$N$5,J133&gt;4000,$N$6)</f>
        <v>$750 - $2.000</v>
      </c>
      <c r="G133" s="4" t="s">
        <v>675</v>
      </c>
      <c r="H133" s="7" t="s">
        <v>15</v>
      </c>
      <c r="I133" s="8">
        <v>1064.8243801652891</v>
      </c>
      <c r="J133" s="9">
        <v>1550</v>
      </c>
      <c r="K133" s="9">
        <v>1395</v>
      </c>
      <c r="L133" s="10"/>
    </row>
    <row r="134" spans="1:12" ht="13" x14ac:dyDescent="0.3">
      <c r="A134" s="5" t="s">
        <v>10</v>
      </c>
      <c r="B134" s="5" t="s">
        <v>11</v>
      </c>
      <c r="C134" s="5" t="s">
        <v>23</v>
      </c>
      <c r="D134" s="5" t="s">
        <v>725</v>
      </c>
      <c r="E134" s="5" t="s">
        <v>725</v>
      </c>
      <c r="F134" s="5" t="str" cm="1">
        <f t="array" ref="F134">_xlfn.IFS(J134&lt;750,$N$3,J134&lt;2000,$N$4,J134&lt;4000,$N$5,J134&gt;4000,$N$6)</f>
        <v>$750 - $2.000</v>
      </c>
      <c r="G134" s="4" t="s">
        <v>676</v>
      </c>
      <c r="H134" s="7" t="s">
        <v>15</v>
      </c>
      <c r="I134" s="8">
        <v>1064.8243801652891</v>
      </c>
      <c r="J134" s="9">
        <v>1550</v>
      </c>
      <c r="K134" s="9">
        <v>1395</v>
      </c>
      <c r="L134" s="10"/>
    </row>
    <row r="135" spans="1:12" ht="13" x14ac:dyDescent="0.3">
      <c r="A135" s="5" t="s">
        <v>10</v>
      </c>
      <c r="B135" s="5" t="s">
        <v>11</v>
      </c>
      <c r="C135" s="5" t="s">
        <v>37</v>
      </c>
      <c r="D135" s="5" t="s">
        <v>725</v>
      </c>
      <c r="E135" s="5" t="s">
        <v>725</v>
      </c>
      <c r="F135" s="5" t="str" cm="1">
        <f t="array" ref="F135">_xlfn.IFS(J135&lt;750,$N$3,J135&lt;2000,$N$4,J135&lt;4000,$N$5,J135&gt;4000,$N$6)</f>
        <v>$750 - $2.000</v>
      </c>
      <c r="G135" s="4" t="s">
        <v>677</v>
      </c>
      <c r="H135" s="7" t="s">
        <v>15</v>
      </c>
      <c r="I135" s="8">
        <v>1064.8243801652891</v>
      </c>
      <c r="J135" s="9">
        <v>1550</v>
      </c>
      <c r="K135" s="9">
        <v>1395</v>
      </c>
      <c r="L135" s="10"/>
    </row>
    <row r="136" spans="1:12" ht="13" x14ac:dyDescent="0.3">
      <c r="A136" s="5" t="s">
        <v>10</v>
      </c>
      <c r="B136" s="5" t="s">
        <v>19</v>
      </c>
      <c r="C136" s="5" t="s">
        <v>726</v>
      </c>
      <c r="D136" s="5" t="s">
        <v>725</v>
      </c>
      <c r="E136" s="5" t="s">
        <v>725</v>
      </c>
      <c r="F136" s="5" t="str" cm="1">
        <f t="array" ref="F136">_xlfn.IFS(J136&lt;750,$N$3,J136&lt;2000,$N$4,J136&lt;4000,$N$5,J136&gt;4000,$N$6)</f>
        <v>$750 - $2.000</v>
      </c>
      <c r="G136" s="4" t="s">
        <v>678</v>
      </c>
      <c r="H136" s="7" t="s">
        <v>15</v>
      </c>
      <c r="I136" s="8">
        <v>791.01239669421489</v>
      </c>
      <c r="J136" s="9">
        <v>1170</v>
      </c>
      <c r="K136" s="9">
        <v>1053</v>
      </c>
      <c r="L136" s="10"/>
    </row>
    <row r="137" spans="1:12" ht="13" x14ac:dyDescent="0.3">
      <c r="A137" s="5" t="s">
        <v>10</v>
      </c>
      <c r="B137" s="5" t="s">
        <v>28</v>
      </c>
      <c r="C137" s="5" t="s">
        <v>60</v>
      </c>
      <c r="D137" s="5" t="s">
        <v>725</v>
      </c>
      <c r="E137" s="5" t="s">
        <v>725</v>
      </c>
      <c r="F137" s="5" t="str" cm="1">
        <f t="array" ref="F137">_xlfn.IFS(J137&lt;750,$N$3,J137&lt;2000,$N$4,J137&lt;4000,$N$5,J137&gt;4000,$N$6)</f>
        <v>$750 - $2.000</v>
      </c>
      <c r="G137" s="4" t="s">
        <v>679</v>
      </c>
      <c r="H137" s="7" t="s">
        <v>15</v>
      </c>
      <c r="I137" s="8">
        <v>791.01239669421489</v>
      </c>
      <c r="J137" s="9">
        <v>1170</v>
      </c>
      <c r="K137" s="9">
        <v>1053</v>
      </c>
      <c r="L137" s="10"/>
    </row>
    <row r="138" spans="1:12" ht="13" x14ac:dyDescent="0.3">
      <c r="A138" s="5" t="s">
        <v>10</v>
      </c>
      <c r="B138" s="5" t="s">
        <v>19</v>
      </c>
      <c r="C138" s="5" t="s">
        <v>20</v>
      </c>
      <c r="D138" s="5" t="s">
        <v>725</v>
      </c>
      <c r="E138" s="5" t="s">
        <v>725</v>
      </c>
      <c r="F138" s="5" t="str" cm="1">
        <f t="array" ref="F138">_xlfn.IFS(J138&lt;750,$N$3,J138&lt;2000,$N$4,J138&lt;4000,$N$5,J138&gt;4000,$N$6)</f>
        <v>$750 - $2.000</v>
      </c>
      <c r="G138" s="4" t="s">
        <v>680</v>
      </c>
      <c r="H138" s="7" t="s">
        <v>15</v>
      </c>
      <c r="I138" s="8">
        <v>669.31818181818187</v>
      </c>
      <c r="J138" s="9">
        <v>990</v>
      </c>
      <c r="K138" s="9">
        <v>891</v>
      </c>
      <c r="L138" s="10"/>
    </row>
    <row r="139" spans="1:12" ht="13" x14ac:dyDescent="0.3">
      <c r="A139" s="5" t="s">
        <v>10</v>
      </c>
      <c r="B139" s="5" t="s">
        <v>19</v>
      </c>
      <c r="C139" s="5" t="s">
        <v>776</v>
      </c>
      <c r="D139" s="5" t="s">
        <v>725</v>
      </c>
      <c r="E139" s="5" t="s">
        <v>725</v>
      </c>
      <c r="F139" s="5" t="e" cm="1">
        <f t="array" ref="F139">_xlfn.IFS(J139&lt;750,$N$3,J139&lt;2000,$N$4,J139&lt;4000,$N$5,J139&gt;4000,$N$6)</f>
        <v>#N/A</v>
      </c>
      <c r="G139" s="4" t="s">
        <v>681</v>
      </c>
      <c r="H139" s="7" t="s">
        <v>15</v>
      </c>
      <c r="I139" s="8" t="e">
        <v>#N/A</v>
      </c>
      <c r="J139" s="9" t="e">
        <v>#N/A</v>
      </c>
      <c r="K139" s="9" t="e">
        <v>#N/A</v>
      </c>
      <c r="L139" s="10"/>
    </row>
    <row r="140" spans="1:12" ht="13" x14ac:dyDescent="0.3">
      <c r="A140" s="5" t="s">
        <v>10</v>
      </c>
      <c r="B140" s="5" t="s">
        <v>11</v>
      </c>
      <c r="C140" s="5"/>
      <c r="D140" s="5" t="s">
        <v>725</v>
      </c>
      <c r="E140" s="5" t="s">
        <v>725</v>
      </c>
      <c r="F140" s="5" t="str" cm="1">
        <f t="array" ref="F140">_xlfn.IFS(J140&lt;750,$N$3,J140&lt;2000,$N$4,J140&lt;4000,$N$5,J140&gt;4000,$N$6)</f>
        <v>$4.000 en adelante</v>
      </c>
      <c r="G140" s="4" t="s">
        <v>682</v>
      </c>
      <c r="H140" s="7" t="s">
        <v>15</v>
      </c>
      <c r="I140" s="8">
        <v>18862.603305785124</v>
      </c>
      <c r="J140" s="9">
        <v>31100</v>
      </c>
      <c r="K140" s="9">
        <v>27990</v>
      </c>
      <c r="L140" s="10"/>
    </row>
    <row r="141" spans="1:12" ht="13" x14ac:dyDescent="0.3">
      <c r="A141" s="5" t="s">
        <v>10</v>
      </c>
      <c r="B141" s="5" t="s">
        <v>11</v>
      </c>
      <c r="C141" s="5" t="s">
        <v>60</v>
      </c>
      <c r="D141" s="5" t="s">
        <v>725</v>
      </c>
      <c r="E141" s="5" t="s">
        <v>725</v>
      </c>
      <c r="F141" s="5" t="str" cm="1">
        <f t="array" ref="F141">_xlfn.IFS(J141&lt;750,$N$3,J141&lt;2000,$N$4,J141&lt;4000,$N$5,J141&gt;4000,$N$6)</f>
        <v>$4.000 en adelante</v>
      </c>
      <c r="G141" s="4" t="s">
        <v>683</v>
      </c>
      <c r="H141" s="7" t="s">
        <v>15</v>
      </c>
      <c r="I141" s="8">
        <v>3042.3553719008264</v>
      </c>
      <c r="J141" s="9">
        <v>4440</v>
      </c>
      <c r="K141" s="9">
        <v>3996</v>
      </c>
      <c r="L141" s="10"/>
    </row>
    <row r="142" spans="1:12" ht="13" x14ac:dyDescent="0.3">
      <c r="A142" s="5" t="s">
        <v>10</v>
      </c>
      <c r="B142" s="5" t="s">
        <v>11</v>
      </c>
      <c r="C142" s="5" t="s">
        <v>37</v>
      </c>
      <c r="D142" s="5" t="s">
        <v>725</v>
      </c>
      <c r="E142" s="5" t="s">
        <v>725</v>
      </c>
      <c r="F142" s="5" t="str" cm="1">
        <f t="array" ref="F142">_xlfn.IFS(J142&lt;750,$N$3,J142&lt;2000,$N$4,J142&lt;4000,$N$5,J142&gt;4000,$N$6)</f>
        <v>$4.000 en adelante</v>
      </c>
      <c r="G142" s="4" t="s">
        <v>684</v>
      </c>
      <c r="H142" s="7" t="s">
        <v>15</v>
      </c>
      <c r="I142" s="8">
        <v>3042.3553719008264</v>
      </c>
      <c r="J142" s="9">
        <v>4440</v>
      </c>
      <c r="K142" s="9">
        <v>3996</v>
      </c>
      <c r="L142" s="10"/>
    </row>
    <row r="143" spans="1:12" ht="13" x14ac:dyDescent="0.3">
      <c r="A143" s="5" t="s">
        <v>10</v>
      </c>
      <c r="B143" s="5" t="s">
        <v>11</v>
      </c>
      <c r="C143" s="5" t="s">
        <v>12</v>
      </c>
      <c r="D143" s="5" t="s">
        <v>725</v>
      </c>
      <c r="E143" s="5" t="s">
        <v>725</v>
      </c>
      <c r="F143" s="5" t="str" cm="1">
        <f t="array" ref="F143">_xlfn.IFS(J143&lt;750,$N$3,J143&lt;2000,$N$4,J143&lt;4000,$N$5,J143&gt;4000,$N$6)</f>
        <v>$4.000 en adelante</v>
      </c>
      <c r="G143" s="4" t="s">
        <v>744</v>
      </c>
      <c r="H143" s="7" t="s">
        <v>15</v>
      </c>
      <c r="I143" s="8">
        <v>3042.3553719008264</v>
      </c>
      <c r="J143" s="9">
        <v>4440</v>
      </c>
      <c r="K143" s="9">
        <v>3996</v>
      </c>
      <c r="L143" s="10"/>
    </row>
    <row r="144" spans="1:12" ht="13" x14ac:dyDescent="0.3">
      <c r="A144" s="5" t="s">
        <v>10</v>
      </c>
      <c r="B144" s="5" t="s">
        <v>11</v>
      </c>
      <c r="C144" s="5" t="s">
        <v>24</v>
      </c>
      <c r="D144" s="5" t="s">
        <v>725</v>
      </c>
      <c r="E144" s="5" t="s">
        <v>725</v>
      </c>
      <c r="F144" s="5" t="str" cm="1">
        <f t="array" ref="F144">_xlfn.IFS(J144&lt;750,$N$3,J144&lt;2000,$N$4,J144&lt;4000,$N$5,J144&gt;4000,$N$6)</f>
        <v>$4.000 en adelante</v>
      </c>
      <c r="G144" s="4" t="s">
        <v>767</v>
      </c>
      <c r="H144" s="7" t="s">
        <v>15</v>
      </c>
      <c r="I144" s="8">
        <v>3437.8615702479342</v>
      </c>
      <c r="J144" s="9">
        <v>4990</v>
      </c>
      <c r="K144" s="9">
        <v>4491</v>
      </c>
      <c r="L144" s="10"/>
    </row>
    <row r="145" spans="1:12" ht="13" x14ac:dyDescent="0.3">
      <c r="A145" s="5" t="s">
        <v>10</v>
      </c>
      <c r="B145" s="5" t="s">
        <v>11</v>
      </c>
      <c r="C145" s="5" t="s">
        <v>17</v>
      </c>
      <c r="D145" s="5" t="s">
        <v>725</v>
      </c>
      <c r="E145" s="5" t="s">
        <v>725</v>
      </c>
      <c r="F145" s="5" t="str" cm="1">
        <f t="array" ref="F145">_xlfn.IFS(J145&lt;750,$N$3,J145&lt;2000,$N$4,J145&lt;4000,$N$5,J145&gt;4000,$N$6)</f>
        <v>$4.000 en adelante</v>
      </c>
      <c r="G145" s="4" t="s">
        <v>687</v>
      </c>
      <c r="H145" s="7" t="s">
        <v>15</v>
      </c>
      <c r="I145" s="8">
        <v>3437.8615702479342</v>
      </c>
      <c r="J145" s="9">
        <v>4990</v>
      </c>
      <c r="K145" s="9">
        <v>4491</v>
      </c>
      <c r="L145" s="10"/>
    </row>
    <row r="146" spans="1:12" ht="13" x14ac:dyDescent="0.3">
      <c r="A146" s="5" t="s">
        <v>10</v>
      </c>
      <c r="B146" s="5" t="s">
        <v>11</v>
      </c>
      <c r="C146" s="5" t="s">
        <v>23</v>
      </c>
      <c r="D146" s="5" t="s">
        <v>725</v>
      </c>
      <c r="E146" s="5" t="s">
        <v>725</v>
      </c>
      <c r="F146" s="5" t="str" cm="1">
        <f t="array" ref="F146">_xlfn.IFS(J146&lt;750,$N$3,J146&lt;2000,$N$4,J146&lt;4000,$N$5,J146&gt;4000,$N$6)</f>
        <v>$4.000 en adelante</v>
      </c>
      <c r="G146" s="4" t="s">
        <v>688</v>
      </c>
      <c r="H146" s="7" t="s">
        <v>15</v>
      </c>
      <c r="I146" s="8">
        <v>3863.7913223140495</v>
      </c>
      <c r="J146" s="9">
        <v>5550</v>
      </c>
      <c r="K146" s="9">
        <v>4995</v>
      </c>
      <c r="L146" s="10"/>
    </row>
    <row r="147" spans="1:12" ht="13" x14ac:dyDescent="0.3">
      <c r="A147" s="5" t="s">
        <v>10</v>
      </c>
      <c r="B147" s="5" t="s">
        <v>11</v>
      </c>
      <c r="C147" s="5" t="s">
        <v>17</v>
      </c>
      <c r="D147" s="5" t="s">
        <v>217</v>
      </c>
      <c r="E147" s="5" t="s">
        <v>218</v>
      </c>
      <c r="F147" s="5" t="str" cm="1">
        <f t="array" ref="F147">_xlfn.IFS(J147&lt;750,$N$3,J147&lt;2000,$N$4,J147&lt;4000,$N$5,J147&gt;4000,$N$6)</f>
        <v>$750 - $2.000</v>
      </c>
      <c r="G147" s="4" t="s">
        <v>219</v>
      </c>
      <c r="H147" s="7" t="s">
        <v>15</v>
      </c>
      <c r="I147" s="8">
        <v>807.5</v>
      </c>
      <c r="J147" s="9">
        <v>1220</v>
      </c>
      <c r="K147" s="9">
        <v>1098</v>
      </c>
      <c r="L147" s="10"/>
    </row>
    <row r="148" spans="1:12" ht="13" x14ac:dyDescent="0.3">
      <c r="A148" s="5" t="s">
        <v>10</v>
      </c>
      <c r="B148" s="5" t="s">
        <v>11</v>
      </c>
      <c r="C148" s="5" t="s">
        <v>12</v>
      </c>
      <c r="D148" s="5" t="s">
        <v>217</v>
      </c>
      <c r="E148" s="5" t="s">
        <v>218</v>
      </c>
      <c r="F148" s="5" t="str" cm="1">
        <f t="array" ref="F148">_xlfn.IFS(J148&lt;750,$N$3,J148&lt;2000,$N$4,J148&lt;4000,$N$5,J148&gt;4000,$N$6)</f>
        <v>$750 - $2.000</v>
      </c>
      <c r="G148" s="4" t="s">
        <v>745</v>
      </c>
      <c r="H148" s="7" t="s">
        <v>15</v>
      </c>
      <c r="I148" s="8">
        <v>807.5</v>
      </c>
      <c r="J148" s="9">
        <v>1220</v>
      </c>
      <c r="K148" s="9">
        <v>1098</v>
      </c>
      <c r="L148" s="10"/>
    </row>
    <row r="149" spans="1:12" ht="13" x14ac:dyDescent="0.3">
      <c r="A149" s="5" t="s">
        <v>10</v>
      </c>
      <c r="B149" s="5" t="s">
        <v>11</v>
      </c>
      <c r="C149" s="5" t="s">
        <v>24</v>
      </c>
      <c r="D149" s="5" t="s">
        <v>217</v>
      </c>
      <c r="E149" s="5" t="s">
        <v>218</v>
      </c>
      <c r="F149" s="5" t="str" cm="1">
        <f t="array" ref="F149">_xlfn.IFS(J149&lt;750,$N$3,J149&lt;2000,$N$4,J149&lt;4000,$N$5,J149&gt;4000,$N$6)</f>
        <v>$750 - $2.000</v>
      </c>
      <c r="G149" s="4" t="s">
        <v>768</v>
      </c>
      <c r="H149" s="7" t="s">
        <v>15</v>
      </c>
      <c r="I149" s="8">
        <v>807.5</v>
      </c>
      <c r="J149" s="9">
        <v>1220</v>
      </c>
      <c r="K149" s="9">
        <v>1098</v>
      </c>
      <c r="L149" s="10"/>
    </row>
    <row r="150" spans="1:12" ht="13" x14ac:dyDescent="0.3">
      <c r="A150" s="5" t="s">
        <v>10</v>
      </c>
      <c r="B150" s="5" t="s">
        <v>11</v>
      </c>
      <c r="C150" s="5"/>
      <c r="D150" s="5" t="s">
        <v>217</v>
      </c>
      <c r="E150" s="5" t="s">
        <v>222</v>
      </c>
      <c r="F150" s="5" t="str" cm="1">
        <f t="array" ref="F150">_xlfn.IFS(J150&lt;750,$N$3,J150&lt;2000,$N$4,J150&lt;4000,$N$5,J150&gt;4000,$N$6)</f>
        <v>$2.000 a $4.000</v>
      </c>
      <c r="G150" s="4" t="s">
        <v>223</v>
      </c>
      <c r="H150" s="7" t="s">
        <v>15</v>
      </c>
      <c r="I150" s="8">
        <v>2037.75</v>
      </c>
      <c r="J150" s="9">
        <v>2990</v>
      </c>
      <c r="K150" s="9">
        <v>2691</v>
      </c>
      <c r="L150" s="10"/>
    </row>
    <row r="151" spans="1:12" ht="13" x14ac:dyDescent="0.3">
      <c r="A151" s="5" t="s">
        <v>10</v>
      </c>
      <c r="B151" s="5" t="s">
        <v>11</v>
      </c>
      <c r="C151" s="5"/>
      <c r="D151" s="5" t="s">
        <v>217</v>
      </c>
      <c r="E151" s="5" t="s">
        <v>224</v>
      </c>
      <c r="F151" s="5" t="str" cm="1">
        <f t="array" ref="F151">_xlfn.IFS(J151&lt;750,$N$3,J151&lt;2000,$N$4,J151&lt;4000,$N$5,J151&gt;4000,$N$6)</f>
        <v>$4.000 en adelante</v>
      </c>
      <c r="G151" s="4" t="s">
        <v>225</v>
      </c>
      <c r="H151" s="7" t="s">
        <v>15</v>
      </c>
      <c r="I151" s="8">
        <v>7576.2500000000009</v>
      </c>
      <c r="J151" s="9">
        <v>11100</v>
      </c>
      <c r="K151" s="9">
        <v>9990</v>
      </c>
      <c r="L151" s="10"/>
    </row>
    <row r="152" spans="1:12" ht="13" x14ac:dyDescent="0.3">
      <c r="A152" s="5" t="s">
        <v>10</v>
      </c>
      <c r="B152" s="5" t="s">
        <v>11</v>
      </c>
      <c r="C152" s="5"/>
      <c r="D152" s="5" t="s">
        <v>217</v>
      </c>
      <c r="E152" s="5" t="s">
        <v>224</v>
      </c>
      <c r="F152" s="5" t="str" cm="1">
        <f t="array" ref="F152">_xlfn.IFS(J152&lt;750,$N$3,J152&lt;2000,$N$4,J152&lt;4000,$N$5,J152&gt;4000,$N$6)</f>
        <v>$4.000 en adelante</v>
      </c>
      <c r="G152" s="4" t="s">
        <v>226</v>
      </c>
      <c r="H152" s="7" t="s">
        <v>15</v>
      </c>
      <c r="I152" s="8">
        <v>7576.2500000000009</v>
      </c>
      <c r="J152" s="9">
        <v>11100</v>
      </c>
      <c r="K152" s="9">
        <v>9990</v>
      </c>
      <c r="L152" s="10"/>
    </row>
    <row r="153" spans="1:12" ht="13" x14ac:dyDescent="0.3">
      <c r="A153" s="5" t="s">
        <v>10</v>
      </c>
      <c r="B153" s="5" t="s">
        <v>11</v>
      </c>
      <c r="C153" s="5"/>
      <c r="D153" s="5" t="s">
        <v>217</v>
      </c>
      <c r="E153" s="5" t="s">
        <v>224</v>
      </c>
      <c r="F153" s="5" t="str" cm="1">
        <f t="array" ref="F153">_xlfn.IFS(J153&lt;750,$N$3,J153&lt;2000,$N$4,J153&lt;4000,$N$5,J153&gt;4000,$N$6)</f>
        <v>$4.000 en adelante</v>
      </c>
      <c r="G153" s="4" t="s">
        <v>227</v>
      </c>
      <c r="H153" s="7" t="s">
        <v>15</v>
      </c>
      <c r="I153" s="8">
        <v>7576.2500000000009</v>
      </c>
      <c r="J153" s="9">
        <v>11100</v>
      </c>
      <c r="K153" s="9">
        <v>9990</v>
      </c>
      <c r="L153" s="10"/>
    </row>
    <row r="154" spans="1:12" ht="13" x14ac:dyDescent="0.3">
      <c r="A154" s="5" t="s">
        <v>10</v>
      </c>
      <c r="B154" s="5" t="s">
        <v>19</v>
      </c>
      <c r="C154" s="5" t="s">
        <v>17</v>
      </c>
      <c r="D154" s="5" t="s">
        <v>228</v>
      </c>
      <c r="E154" s="5" t="s">
        <v>229</v>
      </c>
      <c r="F154" s="5" t="str" cm="1">
        <f t="array" ref="F154">_xlfn.IFS(J154&lt;750,$N$3,J154&lt;2000,$N$4,J154&lt;4000,$N$5,J154&gt;4000,$N$6)</f>
        <v>$0 - $750</v>
      </c>
      <c r="G154" s="4" t="s">
        <v>230</v>
      </c>
      <c r="H154" s="7" t="s">
        <v>15</v>
      </c>
      <c r="I154" s="8">
        <v>328.05</v>
      </c>
      <c r="J154" s="9">
        <v>500</v>
      </c>
      <c r="K154" s="9">
        <v>450</v>
      </c>
      <c r="L154" s="10"/>
    </row>
    <row r="155" spans="1:12" ht="13" x14ac:dyDescent="0.3">
      <c r="A155" s="5" t="s">
        <v>10</v>
      </c>
      <c r="B155" s="5" t="s">
        <v>11</v>
      </c>
      <c r="C155" s="5" t="s">
        <v>17</v>
      </c>
      <c r="D155" s="5" t="s">
        <v>228</v>
      </c>
      <c r="E155" s="5" t="s">
        <v>229</v>
      </c>
      <c r="F155" s="5" t="str" cm="1">
        <f t="array" ref="F155">_xlfn.IFS(J155&lt;750,$N$3,J155&lt;2000,$N$4,J155&lt;4000,$N$5,J155&gt;4000,$N$6)</f>
        <v>$0 - $750</v>
      </c>
      <c r="G155" s="4" t="s">
        <v>231</v>
      </c>
      <c r="H155" s="7" t="s">
        <v>15</v>
      </c>
      <c r="I155" s="8">
        <v>415.35</v>
      </c>
      <c r="J155" s="9">
        <v>730</v>
      </c>
      <c r="K155" s="9">
        <v>657</v>
      </c>
      <c r="L155" s="10"/>
    </row>
    <row r="156" spans="1:12" ht="13" x14ac:dyDescent="0.3">
      <c r="A156" s="5" t="s">
        <v>10</v>
      </c>
      <c r="B156" s="5" t="s">
        <v>11</v>
      </c>
      <c r="C156" s="5" t="s">
        <v>24</v>
      </c>
      <c r="D156" s="5" t="s">
        <v>228</v>
      </c>
      <c r="E156" s="5" t="s">
        <v>232</v>
      </c>
      <c r="F156" s="5" t="str" cm="1">
        <f t="array" ref="F156">_xlfn.IFS(J156&lt;750,$N$3,J156&lt;2000,$N$4,J156&lt;4000,$N$5,J156&gt;4000,$N$6)</f>
        <v>$2.000 a $4.000</v>
      </c>
      <c r="G156" s="4" t="s">
        <v>769</v>
      </c>
      <c r="H156" s="7" t="s">
        <v>15</v>
      </c>
      <c r="I156" s="8">
        <v>1533.15</v>
      </c>
      <c r="J156" s="9">
        <v>2440</v>
      </c>
      <c r="K156" s="9">
        <v>2196</v>
      </c>
      <c r="L156" s="10"/>
    </row>
    <row r="157" spans="1:12" ht="13" x14ac:dyDescent="0.3">
      <c r="A157" s="5" t="s">
        <v>10</v>
      </c>
      <c r="B157" s="5" t="s">
        <v>11</v>
      </c>
      <c r="C157" s="5" t="s">
        <v>17</v>
      </c>
      <c r="D157" s="5" t="s">
        <v>228</v>
      </c>
      <c r="E157" s="5" t="s">
        <v>234</v>
      </c>
      <c r="F157" s="5" t="str" cm="1">
        <f t="array" ref="F157">_xlfn.IFS(J157&lt;750,$N$3,J157&lt;2000,$N$4,J157&lt;4000,$N$5,J157&gt;4000,$N$6)</f>
        <v>$2.000 a $4.000</v>
      </c>
      <c r="G157" s="4" t="s">
        <v>235</v>
      </c>
      <c r="H157" s="7" t="s">
        <v>15</v>
      </c>
      <c r="I157" s="8">
        <v>1372.05</v>
      </c>
      <c r="J157" s="9">
        <v>2100</v>
      </c>
      <c r="K157" s="9">
        <v>1890</v>
      </c>
      <c r="L157" s="10"/>
    </row>
    <row r="158" spans="1:12" ht="13" x14ac:dyDescent="0.3">
      <c r="A158" s="5" t="s">
        <v>10</v>
      </c>
      <c r="B158" s="5" t="s">
        <v>11</v>
      </c>
      <c r="C158" s="5"/>
      <c r="D158" s="5" t="s">
        <v>228</v>
      </c>
      <c r="E158" s="5" t="s">
        <v>236</v>
      </c>
      <c r="F158" s="5" t="str" cm="1">
        <f t="array" ref="F158">_xlfn.IFS(J158&lt;750,$N$3,J158&lt;2000,$N$4,J158&lt;4000,$N$5,J158&gt;4000,$N$6)</f>
        <v>$2.000 a $4.000</v>
      </c>
      <c r="G158" s="4" t="s">
        <v>236</v>
      </c>
      <c r="H158" s="7" t="s">
        <v>59</v>
      </c>
      <c r="I158" s="8">
        <v>1866.15</v>
      </c>
      <c r="J158" s="9">
        <v>2770</v>
      </c>
      <c r="K158" s="9">
        <v>2493</v>
      </c>
      <c r="L158" s="10"/>
    </row>
    <row r="159" spans="1:12" ht="13" x14ac:dyDescent="0.3">
      <c r="A159" s="5" t="s">
        <v>10</v>
      </c>
      <c r="B159" s="5" t="s">
        <v>11</v>
      </c>
      <c r="C159" s="5" t="s">
        <v>17</v>
      </c>
      <c r="D159" s="5" t="s">
        <v>228</v>
      </c>
      <c r="E159" s="5" t="s">
        <v>237</v>
      </c>
      <c r="F159" s="5" t="str" cm="1">
        <f t="array" ref="F159">_xlfn.IFS(J159&lt;750,$N$3,J159&lt;2000,$N$4,J159&lt;4000,$N$5,J159&gt;4000,$N$6)</f>
        <v>$750 - $2.000</v>
      </c>
      <c r="G159" s="4" t="s">
        <v>238</v>
      </c>
      <c r="H159" s="7" t="s">
        <v>15</v>
      </c>
      <c r="I159" s="8">
        <v>717.75</v>
      </c>
      <c r="J159" s="9">
        <v>1100</v>
      </c>
      <c r="K159" s="9">
        <v>990</v>
      </c>
      <c r="L159" s="10"/>
    </row>
    <row r="160" spans="1:12" ht="13" x14ac:dyDescent="0.3">
      <c r="A160" s="5" t="s">
        <v>10</v>
      </c>
      <c r="B160" s="5" t="s">
        <v>11</v>
      </c>
      <c r="C160" s="5" t="s">
        <v>107</v>
      </c>
      <c r="D160" s="5" t="s">
        <v>228</v>
      </c>
      <c r="E160" s="5" t="s">
        <v>237</v>
      </c>
      <c r="F160" s="5" t="str" cm="1">
        <f t="array" ref="F160">_xlfn.IFS(J160&lt;750,$N$3,J160&lt;2000,$N$4,J160&lt;4000,$N$5,J160&gt;4000,$N$6)</f>
        <v>$750 - $2.000</v>
      </c>
      <c r="G160" s="4" t="s">
        <v>239</v>
      </c>
      <c r="H160" s="7" t="s">
        <v>15</v>
      </c>
      <c r="I160" s="8">
        <v>1038.1500000000001</v>
      </c>
      <c r="J160" s="9">
        <v>1550</v>
      </c>
      <c r="K160" s="9">
        <v>1395</v>
      </c>
      <c r="L160" s="10"/>
    </row>
    <row r="161" spans="1:12" ht="13" x14ac:dyDescent="0.3">
      <c r="A161" s="5" t="s">
        <v>10</v>
      </c>
      <c r="B161" s="5" t="s">
        <v>11</v>
      </c>
      <c r="C161" s="5" t="s">
        <v>17</v>
      </c>
      <c r="D161" s="5" t="s">
        <v>228</v>
      </c>
      <c r="E161" s="5" t="s">
        <v>240</v>
      </c>
      <c r="F161" s="5" t="str" cm="1">
        <f t="array" ref="F161">_xlfn.IFS(J161&lt;750,$N$3,J161&lt;2000,$N$4,J161&lt;4000,$N$5,J161&gt;4000,$N$6)</f>
        <v>$4.000 en adelante</v>
      </c>
      <c r="G161" s="4" t="s">
        <v>241</v>
      </c>
      <c r="H161" s="7" t="s">
        <v>15</v>
      </c>
      <c r="I161" s="8">
        <v>3999.5</v>
      </c>
      <c r="J161" s="9">
        <v>6440</v>
      </c>
      <c r="K161" s="9">
        <v>5796</v>
      </c>
      <c r="L161" s="10"/>
    </row>
    <row r="162" spans="1:12" ht="13" x14ac:dyDescent="0.3">
      <c r="A162" s="5" t="s">
        <v>10</v>
      </c>
      <c r="B162" s="5" t="s">
        <v>11</v>
      </c>
      <c r="C162" s="5" t="s">
        <v>23</v>
      </c>
      <c r="D162" s="5" t="s">
        <v>228</v>
      </c>
      <c r="E162" s="5" t="s">
        <v>240</v>
      </c>
      <c r="F162" s="5" t="str" cm="1">
        <f t="array" ref="F162">_xlfn.IFS(J162&lt;750,$N$3,J162&lt;2000,$N$4,J162&lt;4000,$N$5,J162&gt;4000,$N$6)</f>
        <v>$4.000 en adelante</v>
      </c>
      <c r="G162" s="4" t="s">
        <v>242</v>
      </c>
      <c r="H162" s="7" t="s">
        <v>15</v>
      </c>
      <c r="I162" s="8">
        <v>4571.5</v>
      </c>
      <c r="J162" s="9">
        <v>7330</v>
      </c>
      <c r="K162" s="9">
        <v>6597</v>
      </c>
      <c r="L162" s="10"/>
    </row>
    <row r="163" spans="1:12" ht="13" x14ac:dyDescent="0.3">
      <c r="A163" s="5" t="s">
        <v>10</v>
      </c>
      <c r="B163" s="5" t="s">
        <v>11</v>
      </c>
      <c r="C163" s="5" t="s">
        <v>12</v>
      </c>
      <c r="D163" s="5" t="s">
        <v>243</v>
      </c>
      <c r="E163" s="5" t="s">
        <v>244</v>
      </c>
      <c r="F163" s="5" t="str" cm="1">
        <f t="array" ref="F163">_xlfn.IFS(J163&lt;750,$N$3,J163&lt;2000,$N$4,J163&lt;4000,$N$5,J163&gt;4000,$N$6)</f>
        <v>$750 - $2.000</v>
      </c>
      <c r="G163" s="4" t="s">
        <v>746</v>
      </c>
      <c r="H163" s="7" t="s">
        <v>15</v>
      </c>
      <c r="I163" s="8">
        <v>548</v>
      </c>
      <c r="J163" s="9">
        <v>800</v>
      </c>
      <c r="K163" s="9">
        <v>720</v>
      </c>
      <c r="L163" s="10"/>
    </row>
    <row r="164" spans="1:12" ht="13" x14ac:dyDescent="0.3">
      <c r="A164" s="5" t="s">
        <v>10</v>
      </c>
      <c r="B164" s="5" t="s">
        <v>11</v>
      </c>
      <c r="C164" s="5" t="s">
        <v>24</v>
      </c>
      <c r="D164" s="5" t="s">
        <v>243</v>
      </c>
      <c r="E164" s="5" t="s">
        <v>244</v>
      </c>
      <c r="F164" s="5" t="e" cm="1">
        <f t="array" ref="F164">_xlfn.IFS(J164&lt;750,$N$3,J164&lt;2000,$N$4,J164&lt;4000,$N$5,J164&gt;4000,$N$6)</f>
        <v>#N/A</v>
      </c>
      <c r="G164" s="4" t="s">
        <v>770</v>
      </c>
      <c r="H164" s="7" t="s">
        <v>15</v>
      </c>
      <c r="I164" s="8" t="e">
        <v>#N/A</v>
      </c>
      <c r="J164" s="9" t="e">
        <v>#N/A</v>
      </c>
      <c r="K164" s="9" t="e">
        <v>#N/A</v>
      </c>
      <c r="L164" s="10"/>
    </row>
    <row r="165" spans="1:12" ht="13" x14ac:dyDescent="0.3">
      <c r="A165" s="5" t="s">
        <v>10</v>
      </c>
      <c r="B165" s="5" t="s">
        <v>11</v>
      </c>
      <c r="C165" s="5" t="s">
        <v>17</v>
      </c>
      <c r="D165" s="5" t="s">
        <v>243</v>
      </c>
      <c r="E165" s="5" t="s">
        <v>244</v>
      </c>
      <c r="F165" s="5" t="str" cm="1">
        <f t="array" ref="F165">_xlfn.IFS(J165&lt;750,$N$3,J165&lt;2000,$N$4,J165&lt;4000,$N$5,J165&gt;4000,$N$6)</f>
        <v>$750 - $2.000</v>
      </c>
      <c r="G165" s="4" t="s">
        <v>246</v>
      </c>
      <c r="H165" s="7" t="s">
        <v>15</v>
      </c>
      <c r="I165" s="8">
        <v>548</v>
      </c>
      <c r="J165" s="9">
        <v>800</v>
      </c>
      <c r="K165" s="9">
        <v>720</v>
      </c>
      <c r="L165" s="10"/>
    </row>
    <row r="166" spans="1:12" ht="13" x14ac:dyDescent="0.3">
      <c r="A166" s="5" t="s">
        <v>10</v>
      </c>
      <c r="B166" s="5" t="s">
        <v>11</v>
      </c>
      <c r="C166" s="5" t="s">
        <v>17</v>
      </c>
      <c r="D166" s="5" t="s">
        <v>243</v>
      </c>
      <c r="E166" s="5" t="s">
        <v>247</v>
      </c>
      <c r="F166" s="5" t="str" cm="1">
        <f t="array" ref="F166">_xlfn.IFS(J166&lt;750,$N$3,J166&lt;2000,$N$4,J166&lt;4000,$N$5,J166&gt;4000,$N$6)</f>
        <v>$750 - $2.000</v>
      </c>
      <c r="G166" s="4" t="s">
        <v>248</v>
      </c>
      <c r="H166" s="7" t="s">
        <v>15</v>
      </c>
      <c r="I166" s="8">
        <v>795</v>
      </c>
      <c r="J166" s="9">
        <v>1170</v>
      </c>
      <c r="K166" s="9">
        <v>1053</v>
      </c>
      <c r="L166" s="10"/>
    </row>
    <row r="167" spans="1:12" ht="13" x14ac:dyDescent="0.3">
      <c r="A167" s="5" t="s">
        <v>10</v>
      </c>
      <c r="B167" s="5" t="s">
        <v>11</v>
      </c>
      <c r="C167" s="5" t="s">
        <v>23</v>
      </c>
      <c r="D167" s="5" t="s">
        <v>243</v>
      </c>
      <c r="E167" s="5" t="s">
        <v>247</v>
      </c>
      <c r="F167" s="5" t="str" cm="1">
        <f t="array" ref="F167">_xlfn.IFS(J167&lt;750,$N$3,J167&lt;2000,$N$4,J167&lt;4000,$N$5,J167&gt;4000,$N$6)</f>
        <v>$750 - $2.000</v>
      </c>
      <c r="G167" s="4" t="s">
        <v>249</v>
      </c>
      <c r="H167" s="7" t="s">
        <v>15</v>
      </c>
      <c r="I167" s="8">
        <v>1059</v>
      </c>
      <c r="J167" s="9">
        <v>1550</v>
      </c>
      <c r="K167" s="9">
        <v>1395</v>
      </c>
      <c r="L167" s="10"/>
    </row>
    <row r="168" spans="1:12" ht="13" x14ac:dyDescent="0.3">
      <c r="A168" s="5" t="s">
        <v>10</v>
      </c>
      <c r="B168" s="5" t="s">
        <v>11</v>
      </c>
      <c r="C168" s="5" t="s">
        <v>17</v>
      </c>
      <c r="D168" s="5" t="s">
        <v>243</v>
      </c>
      <c r="E168" s="5" t="s">
        <v>250</v>
      </c>
      <c r="F168" s="5" t="str" cm="1">
        <f t="array" ref="F168">_xlfn.IFS(J168&lt;750,$N$3,J168&lt;2000,$N$4,J168&lt;4000,$N$5,J168&gt;4000,$N$6)</f>
        <v>$2.000 a $4.000</v>
      </c>
      <c r="G168" s="4" t="s">
        <v>251</v>
      </c>
      <c r="H168" s="7" t="s">
        <v>15</v>
      </c>
      <c r="I168" s="8">
        <v>2372</v>
      </c>
      <c r="J168" s="9">
        <v>3330</v>
      </c>
      <c r="K168" s="9">
        <v>2997</v>
      </c>
      <c r="L168" s="10"/>
    </row>
    <row r="169" spans="1:12" ht="13" x14ac:dyDescent="0.3">
      <c r="A169" s="5" t="s">
        <v>10</v>
      </c>
      <c r="B169" s="5" t="s">
        <v>11</v>
      </c>
      <c r="C169" s="5" t="s">
        <v>17</v>
      </c>
      <c r="D169" s="5" t="s">
        <v>252</v>
      </c>
      <c r="E169" s="5" t="s">
        <v>253</v>
      </c>
      <c r="F169" s="5" t="str" cm="1">
        <f t="array" ref="F169">_xlfn.IFS(J169&lt;750,$N$3,J169&lt;2000,$N$4,J169&lt;4000,$N$5,J169&gt;4000,$N$6)</f>
        <v>$0 - $750</v>
      </c>
      <c r="G169" s="4" t="s">
        <v>254</v>
      </c>
      <c r="H169" s="7" t="s">
        <v>15</v>
      </c>
      <c r="I169" s="8">
        <v>480</v>
      </c>
      <c r="J169" s="9">
        <v>690</v>
      </c>
      <c r="K169" s="9">
        <v>621</v>
      </c>
      <c r="L169" s="10"/>
    </row>
    <row r="170" spans="1:12" ht="13" x14ac:dyDescent="0.3">
      <c r="A170" s="5" t="s">
        <v>10</v>
      </c>
      <c r="B170" s="5" t="s">
        <v>11</v>
      </c>
      <c r="C170" s="5" t="s">
        <v>24</v>
      </c>
      <c r="D170" s="5" t="s">
        <v>252</v>
      </c>
      <c r="E170" s="5" t="s">
        <v>253</v>
      </c>
      <c r="F170" s="5" t="str" cm="1">
        <f t="array" ref="F170">_xlfn.IFS(J170&lt;750,$N$3,J170&lt;2000,$N$4,J170&lt;4000,$N$5,J170&gt;4000,$N$6)</f>
        <v>$0 - $750</v>
      </c>
      <c r="G170" s="4" t="s">
        <v>771</v>
      </c>
      <c r="H170" s="7" t="s">
        <v>15</v>
      </c>
      <c r="I170" s="8">
        <v>480</v>
      </c>
      <c r="J170" s="9">
        <v>690</v>
      </c>
      <c r="K170" s="9">
        <v>621</v>
      </c>
      <c r="L170" s="10"/>
    </row>
    <row r="171" spans="1:12" ht="13" x14ac:dyDescent="0.3">
      <c r="A171" s="5" t="s">
        <v>10</v>
      </c>
      <c r="B171" s="5" t="s">
        <v>11</v>
      </c>
      <c r="C171" s="5" t="s">
        <v>12</v>
      </c>
      <c r="D171" s="5" t="s">
        <v>252</v>
      </c>
      <c r="E171" s="5" t="s">
        <v>253</v>
      </c>
      <c r="F171" s="5" t="str" cm="1">
        <f t="array" ref="F171">_xlfn.IFS(J171&lt;750,$N$3,J171&lt;2000,$N$4,J171&lt;4000,$N$5,J171&gt;4000,$N$6)</f>
        <v>$0 - $750</v>
      </c>
      <c r="G171" s="4" t="s">
        <v>747</v>
      </c>
      <c r="H171" s="7" t="s">
        <v>15</v>
      </c>
      <c r="I171" s="8">
        <v>480</v>
      </c>
      <c r="J171" s="9">
        <v>690</v>
      </c>
      <c r="K171" s="9">
        <v>621</v>
      </c>
      <c r="L171" s="10"/>
    </row>
    <row r="172" spans="1:12" ht="13" x14ac:dyDescent="0.3">
      <c r="A172" s="5" t="s">
        <v>10</v>
      </c>
      <c r="B172" s="5" t="s">
        <v>11</v>
      </c>
      <c r="C172" s="5" t="s">
        <v>17</v>
      </c>
      <c r="D172" s="5" t="s">
        <v>252</v>
      </c>
      <c r="E172" s="5" t="s">
        <v>257</v>
      </c>
      <c r="F172" s="5" t="str" cm="1">
        <f t="array" ref="F172">_xlfn.IFS(J172&lt;750,$N$3,J172&lt;2000,$N$4,J172&lt;4000,$N$5,J172&gt;4000,$N$6)</f>
        <v>$750 - $2.000</v>
      </c>
      <c r="G172" s="4" t="s">
        <v>258</v>
      </c>
      <c r="H172" s="7" t="s">
        <v>15</v>
      </c>
      <c r="I172" s="8">
        <v>780</v>
      </c>
      <c r="J172" s="9">
        <v>1170</v>
      </c>
      <c r="K172" s="9">
        <v>1053</v>
      </c>
      <c r="L172" s="10"/>
    </row>
    <row r="173" spans="1:12" ht="13" x14ac:dyDescent="0.3">
      <c r="A173" s="5" t="s">
        <v>10</v>
      </c>
      <c r="B173" s="5" t="s">
        <v>11</v>
      </c>
      <c r="C173" s="5" t="s">
        <v>12</v>
      </c>
      <c r="D173" s="5" t="s">
        <v>252</v>
      </c>
      <c r="E173" s="5" t="s">
        <v>257</v>
      </c>
      <c r="F173" s="5" t="str" cm="1">
        <f t="array" ref="F173">_xlfn.IFS(J173&lt;750,$N$3,J173&lt;2000,$N$4,J173&lt;4000,$N$5,J173&gt;4000,$N$6)</f>
        <v>$750 - $2.000</v>
      </c>
      <c r="G173" s="4" t="s">
        <v>748</v>
      </c>
      <c r="H173" s="7" t="s">
        <v>15</v>
      </c>
      <c r="I173" s="8">
        <v>780</v>
      </c>
      <c r="J173" s="9">
        <v>1170</v>
      </c>
      <c r="K173" s="9">
        <v>1053</v>
      </c>
      <c r="L173" s="10"/>
    </row>
    <row r="174" spans="1:12" ht="13" x14ac:dyDescent="0.3">
      <c r="A174" s="5" t="s">
        <v>10</v>
      </c>
      <c r="B174" s="5" t="s">
        <v>11</v>
      </c>
      <c r="C174" s="5" t="s">
        <v>24</v>
      </c>
      <c r="D174" s="5" t="s">
        <v>252</v>
      </c>
      <c r="E174" s="5" t="s">
        <v>257</v>
      </c>
      <c r="F174" s="5" t="str" cm="1">
        <f t="array" ref="F174">_xlfn.IFS(J174&lt;750,$N$3,J174&lt;2000,$N$4,J174&lt;4000,$N$5,J174&gt;4000,$N$6)</f>
        <v>$750 - $2.000</v>
      </c>
      <c r="G174" s="4" t="s">
        <v>772</v>
      </c>
      <c r="H174" s="7" t="s">
        <v>15</v>
      </c>
      <c r="I174" s="8">
        <v>780</v>
      </c>
      <c r="J174" s="9">
        <v>1170</v>
      </c>
      <c r="K174" s="9">
        <v>1053</v>
      </c>
      <c r="L174" s="10"/>
    </row>
    <row r="175" spans="1:12" ht="13" x14ac:dyDescent="0.3">
      <c r="A175" s="5" t="s">
        <v>10</v>
      </c>
      <c r="B175" s="5" t="s">
        <v>11</v>
      </c>
      <c r="C175" s="5" t="s">
        <v>23</v>
      </c>
      <c r="D175" s="5" t="s">
        <v>252</v>
      </c>
      <c r="E175" s="5" t="s">
        <v>257</v>
      </c>
      <c r="F175" s="5" t="str" cm="1">
        <f t="array" ref="F175">_xlfn.IFS(J175&lt;750,$N$3,J175&lt;2000,$N$4,J175&lt;4000,$N$5,J175&gt;4000,$N$6)</f>
        <v>$750 - $2.000</v>
      </c>
      <c r="G175" s="4" t="s">
        <v>261</v>
      </c>
      <c r="H175" s="7" t="s">
        <v>15</v>
      </c>
      <c r="I175" s="8">
        <v>780</v>
      </c>
      <c r="J175" s="9">
        <v>1170</v>
      </c>
      <c r="K175" s="9">
        <v>1053</v>
      </c>
      <c r="L175" s="10"/>
    </row>
    <row r="176" spans="1:12" ht="13" x14ac:dyDescent="0.3">
      <c r="A176" s="5" t="s">
        <v>10</v>
      </c>
      <c r="B176" s="5" t="s">
        <v>11</v>
      </c>
      <c r="C176" s="5" t="s">
        <v>17</v>
      </c>
      <c r="D176" s="5" t="s">
        <v>252</v>
      </c>
      <c r="E176" s="5" t="s">
        <v>262</v>
      </c>
      <c r="F176" s="5" t="str" cm="1">
        <f t="array" ref="F176">_xlfn.IFS(J176&lt;750,$N$3,J176&lt;2000,$N$4,J176&lt;4000,$N$5,J176&gt;4000,$N$6)</f>
        <v>$750 - $2.000</v>
      </c>
      <c r="G176" s="4" t="s">
        <v>263</v>
      </c>
      <c r="H176" s="7" t="s">
        <v>15</v>
      </c>
      <c r="I176" s="8">
        <v>630</v>
      </c>
      <c r="J176" s="9">
        <v>950</v>
      </c>
      <c r="K176" s="9">
        <v>855</v>
      </c>
      <c r="L176" s="10"/>
    </row>
    <row r="177" spans="1:12" ht="13" x14ac:dyDescent="0.3">
      <c r="A177" s="5" t="s">
        <v>10</v>
      </c>
      <c r="B177" s="5" t="s">
        <v>11</v>
      </c>
      <c r="C177" s="5" t="s">
        <v>17</v>
      </c>
      <c r="D177" s="5" t="s">
        <v>252</v>
      </c>
      <c r="E177" s="5" t="s">
        <v>264</v>
      </c>
      <c r="F177" s="5" t="str" cm="1">
        <f t="array" ref="F177">_xlfn.IFS(J177&lt;750,$N$3,J177&lt;2000,$N$4,J177&lt;4000,$N$5,J177&gt;4000,$N$6)</f>
        <v>$750 - $2.000</v>
      </c>
      <c r="G177" s="4" t="s">
        <v>265</v>
      </c>
      <c r="H177" s="7" t="s">
        <v>15</v>
      </c>
      <c r="I177" s="8">
        <v>894</v>
      </c>
      <c r="J177" s="9">
        <v>1330</v>
      </c>
      <c r="K177" s="9">
        <v>1197</v>
      </c>
      <c r="L177" s="10"/>
    </row>
    <row r="178" spans="1:12" ht="13" x14ac:dyDescent="0.3">
      <c r="A178" s="5" t="s">
        <v>10</v>
      </c>
      <c r="B178" s="5" t="s">
        <v>19</v>
      </c>
      <c r="C178" s="5" t="s">
        <v>266</v>
      </c>
      <c r="D178" s="5" t="s">
        <v>252</v>
      </c>
      <c r="E178" s="5" t="s">
        <v>267</v>
      </c>
      <c r="F178" s="5" t="str" cm="1">
        <f t="array" ref="F178">_xlfn.IFS(J178&lt;750,$N$3,J178&lt;2000,$N$4,J178&lt;4000,$N$5,J178&gt;4000,$N$6)</f>
        <v>$750 - $2.000</v>
      </c>
      <c r="G178" s="4" t="s">
        <v>268</v>
      </c>
      <c r="H178" s="7" t="s">
        <v>15</v>
      </c>
      <c r="I178" s="8">
        <v>720</v>
      </c>
      <c r="J178" s="9">
        <v>1060</v>
      </c>
      <c r="K178" s="9">
        <v>954</v>
      </c>
      <c r="L178" s="10"/>
    </row>
    <row r="179" spans="1:12" ht="13" x14ac:dyDescent="0.3">
      <c r="A179" s="5" t="s">
        <v>10</v>
      </c>
      <c r="B179" s="5" t="s">
        <v>11</v>
      </c>
      <c r="C179" s="5" t="s">
        <v>269</v>
      </c>
      <c r="D179" s="5" t="s">
        <v>252</v>
      </c>
      <c r="E179" s="5" t="s">
        <v>267</v>
      </c>
      <c r="F179" s="5" t="str" cm="1">
        <f t="array" ref="F179">_xlfn.IFS(J179&lt;750,$N$3,J179&lt;2000,$N$4,J179&lt;4000,$N$5,J179&gt;4000,$N$6)</f>
        <v>$750 - $2.000</v>
      </c>
      <c r="G179" s="4" t="s">
        <v>270</v>
      </c>
      <c r="H179" s="7" t="s">
        <v>15</v>
      </c>
      <c r="I179" s="8">
        <v>840</v>
      </c>
      <c r="J179" s="9">
        <v>1220</v>
      </c>
      <c r="K179" s="9">
        <v>1098</v>
      </c>
      <c r="L179" s="10"/>
    </row>
    <row r="180" spans="1:12" ht="13" x14ac:dyDescent="0.3">
      <c r="A180" s="5" t="s">
        <v>10</v>
      </c>
      <c r="B180" s="5" t="s">
        <v>11</v>
      </c>
      <c r="C180" s="5" t="s">
        <v>17</v>
      </c>
      <c r="D180" s="5" t="s">
        <v>252</v>
      </c>
      <c r="E180" s="5" t="s">
        <v>267</v>
      </c>
      <c r="F180" s="5" t="str" cm="1">
        <f t="array" ref="F180">_xlfn.IFS(J180&lt;750,$N$3,J180&lt;2000,$N$4,J180&lt;4000,$N$5,J180&gt;4000,$N$6)</f>
        <v>$750 - $2.000</v>
      </c>
      <c r="G180" s="4" t="s">
        <v>271</v>
      </c>
      <c r="H180" s="7" t="s">
        <v>15</v>
      </c>
      <c r="I180" s="8">
        <v>1260</v>
      </c>
      <c r="J180" s="9">
        <v>1880</v>
      </c>
      <c r="K180" s="9">
        <v>1692</v>
      </c>
      <c r="L180" s="10"/>
    </row>
    <row r="181" spans="1:12" ht="13" x14ac:dyDescent="0.3">
      <c r="A181" s="5" t="s">
        <v>10</v>
      </c>
      <c r="B181" s="5" t="s">
        <v>11</v>
      </c>
      <c r="C181" s="5" t="s">
        <v>24</v>
      </c>
      <c r="D181" s="5" t="s">
        <v>252</v>
      </c>
      <c r="E181" s="5" t="s">
        <v>267</v>
      </c>
      <c r="F181" s="5" t="str" cm="1">
        <f t="array" ref="F181">_xlfn.IFS(J181&lt;750,$N$3,J181&lt;2000,$N$4,J181&lt;4000,$N$5,J181&gt;4000,$N$6)</f>
        <v>$2.000 a $4.000</v>
      </c>
      <c r="G181" s="4" t="s">
        <v>773</v>
      </c>
      <c r="H181" s="7" t="s">
        <v>15</v>
      </c>
      <c r="I181" s="8">
        <v>1620</v>
      </c>
      <c r="J181" s="9">
        <v>2330</v>
      </c>
      <c r="K181" s="9">
        <v>2097</v>
      </c>
      <c r="L181" s="10"/>
    </row>
    <row r="182" spans="1:12" ht="13" x14ac:dyDescent="0.3">
      <c r="A182" s="5" t="s">
        <v>10</v>
      </c>
      <c r="B182" s="5" t="s">
        <v>11</v>
      </c>
      <c r="C182" s="5" t="s">
        <v>17</v>
      </c>
      <c r="D182" s="5" t="s">
        <v>252</v>
      </c>
      <c r="E182" s="5" t="s">
        <v>267</v>
      </c>
      <c r="F182" s="5" t="str" cm="1">
        <f t="array" ref="F182">_xlfn.IFS(J182&lt;750,$N$3,J182&lt;2000,$N$4,J182&lt;4000,$N$5,J182&gt;4000,$N$6)</f>
        <v>$2.000 a $4.000</v>
      </c>
      <c r="G182" s="4" t="s">
        <v>273</v>
      </c>
      <c r="H182" s="7" t="s">
        <v>15</v>
      </c>
      <c r="I182" s="8">
        <v>2160</v>
      </c>
      <c r="J182" s="9">
        <v>3100</v>
      </c>
      <c r="K182" s="9">
        <v>2790</v>
      </c>
      <c r="L182" s="10"/>
    </row>
    <row r="183" spans="1:12" ht="13" x14ac:dyDescent="0.3">
      <c r="A183" s="5" t="s">
        <v>10</v>
      </c>
      <c r="B183" s="5" t="s">
        <v>11</v>
      </c>
      <c r="C183" s="5" t="s">
        <v>17</v>
      </c>
      <c r="D183" s="5" t="s">
        <v>274</v>
      </c>
      <c r="E183" s="5" t="s">
        <v>275</v>
      </c>
      <c r="F183" s="5" t="str" cm="1">
        <f t="array" ref="F183">_xlfn.IFS(J183&lt;750,$N$3,J183&lt;2000,$N$4,J183&lt;4000,$N$5,J183&gt;4000,$N$6)</f>
        <v>$0 - $750</v>
      </c>
      <c r="G183" s="4" t="s">
        <v>276</v>
      </c>
      <c r="H183" s="7" t="s">
        <v>15</v>
      </c>
      <c r="I183" s="8">
        <v>293.00072727272732</v>
      </c>
      <c r="J183" s="9">
        <v>500</v>
      </c>
      <c r="K183" s="9">
        <v>450</v>
      </c>
      <c r="L183" s="10"/>
    </row>
    <row r="184" spans="1:12" ht="13" x14ac:dyDescent="0.3">
      <c r="A184" s="5" t="s">
        <v>10</v>
      </c>
      <c r="B184" s="5" t="s">
        <v>11</v>
      </c>
      <c r="C184" s="5" t="s">
        <v>12</v>
      </c>
      <c r="D184" s="5" t="s">
        <v>274</v>
      </c>
      <c r="E184" s="5" t="s">
        <v>275</v>
      </c>
      <c r="F184" s="5" t="str" cm="1">
        <f t="array" ref="F184">_xlfn.IFS(J184&lt;750,$N$3,J184&lt;2000,$N$4,J184&lt;4000,$N$5,J184&gt;4000,$N$6)</f>
        <v>$0 - $750</v>
      </c>
      <c r="G184" s="4" t="s">
        <v>749</v>
      </c>
      <c r="H184" s="7" t="s">
        <v>15</v>
      </c>
      <c r="I184" s="8">
        <v>293.00072727272732</v>
      </c>
      <c r="J184" s="9">
        <v>500</v>
      </c>
      <c r="K184" s="9">
        <v>450</v>
      </c>
      <c r="L184" s="10"/>
    </row>
    <row r="185" spans="1:12" ht="13" x14ac:dyDescent="0.3">
      <c r="A185" s="5" t="s">
        <v>10</v>
      </c>
      <c r="B185" s="5" t="s">
        <v>11</v>
      </c>
      <c r="C185" s="5" t="s">
        <v>23</v>
      </c>
      <c r="D185" s="5" t="s">
        <v>274</v>
      </c>
      <c r="E185" s="5" t="s">
        <v>278</v>
      </c>
      <c r="F185" s="5" t="str" cm="1">
        <f t="array" ref="F185">_xlfn.IFS(J185&lt;750,$N$3,J185&lt;2000,$N$4,J185&lt;4000,$N$5,J185&gt;4000,$N$6)</f>
        <v>$0 - $750</v>
      </c>
      <c r="G185" s="4" t="s">
        <v>279</v>
      </c>
      <c r="H185" s="7" t="s">
        <v>15</v>
      </c>
      <c r="I185" s="8">
        <v>387.37599999999998</v>
      </c>
      <c r="J185" s="9">
        <v>730</v>
      </c>
      <c r="K185" s="9">
        <v>657</v>
      </c>
      <c r="L185" s="10"/>
    </row>
    <row r="186" spans="1:12" ht="13" x14ac:dyDescent="0.3">
      <c r="A186" s="5" t="s">
        <v>10</v>
      </c>
      <c r="B186" s="5" t="s">
        <v>28</v>
      </c>
      <c r="C186" s="5" t="s">
        <v>393</v>
      </c>
      <c r="D186" s="5" t="s">
        <v>274</v>
      </c>
      <c r="E186" s="5" t="s">
        <v>278</v>
      </c>
      <c r="F186" s="5" t="e" cm="1">
        <f t="array" ref="F186">_xlfn.IFS(J186&lt;750,$N$3,J186&lt;2000,$N$4,J186&lt;4000,$N$5,J186&gt;4000,$N$6)</f>
        <v>#N/A</v>
      </c>
      <c r="G186" s="4" t="s">
        <v>280</v>
      </c>
      <c r="H186" s="7" t="s">
        <v>15</v>
      </c>
      <c r="I186" s="8" t="e">
        <v>#N/A</v>
      </c>
      <c r="J186" s="9" t="e">
        <v>#N/A</v>
      </c>
      <c r="K186" s="9" t="e">
        <v>#N/A</v>
      </c>
      <c r="L186" s="10"/>
    </row>
    <row r="187" spans="1:12" ht="13" x14ac:dyDescent="0.3">
      <c r="A187" s="5" t="s">
        <v>10</v>
      </c>
      <c r="B187" s="5" t="s">
        <v>11</v>
      </c>
      <c r="C187" s="5" t="s">
        <v>17</v>
      </c>
      <c r="D187" s="5" t="s">
        <v>274</v>
      </c>
      <c r="E187" s="5" t="s">
        <v>281</v>
      </c>
      <c r="F187" s="5" t="str" cm="1">
        <f t="array" ref="F187">_xlfn.IFS(J187&lt;750,$N$3,J187&lt;2000,$N$4,J187&lt;4000,$N$5,J187&gt;4000,$N$6)</f>
        <v>$750 - $2.000</v>
      </c>
      <c r="G187" s="4" t="s">
        <v>282</v>
      </c>
      <c r="H187" s="7" t="s">
        <v>15</v>
      </c>
      <c r="I187" s="8">
        <v>483.70145454545451</v>
      </c>
      <c r="J187" s="9">
        <v>950</v>
      </c>
      <c r="K187" s="9">
        <v>855</v>
      </c>
      <c r="L187" s="10"/>
    </row>
    <row r="188" spans="1:12" ht="13" x14ac:dyDescent="0.3">
      <c r="A188" s="5" t="s">
        <v>10</v>
      </c>
      <c r="B188" s="5" t="s">
        <v>11</v>
      </c>
      <c r="C188" s="5" t="s">
        <v>12</v>
      </c>
      <c r="D188" s="5" t="s">
        <v>274</v>
      </c>
      <c r="E188" s="5" t="s">
        <v>281</v>
      </c>
      <c r="F188" s="5" t="str" cm="1">
        <f t="array" ref="F188">_xlfn.IFS(J188&lt;750,$N$3,J188&lt;2000,$N$4,J188&lt;4000,$N$5,J188&gt;4000,$N$6)</f>
        <v>$750 - $2.000</v>
      </c>
      <c r="G188" s="4" t="s">
        <v>750</v>
      </c>
      <c r="H188" s="7" t="s">
        <v>15</v>
      </c>
      <c r="I188" s="8">
        <v>483.70145454545451</v>
      </c>
      <c r="J188" s="9">
        <v>950</v>
      </c>
      <c r="K188" s="9">
        <v>855</v>
      </c>
      <c r="L188" s="10"/>
    </row>
    <row r="189" spans="1:12" ht="13" x14ac:dyDescent="0.3">
      <c r="A189" s="5" t="s">
        <v>10</v>
      </c>
      <c r="B189" s="5" t="s">
        <v>11</v>
      </c>
      <c r="C189" s="5" t="s">
        <v>107</v>
      </c>
      <c r="D189" s="5" t="s">
        <v>274</v>
      </c>
      <c r="E189" s="5" t="s">
        <v>284</v>
      </c>
      <c r="F189" s="5" t="str" cm="1">
        <f t="array" ref="F189">_xlfn.IFS(J189&lt;750,$N$3,J189&lt;2000,$N$4,J189&lt;4000,$N$5,J189&gt;4000,$N$6)</f>
        <v>$2.000 a $4.000</v>
      </c>
      <c r="G189" s="4" t="s">
        <v>285</v>
      </c>
      <c r="H189" s="7" t="s">
        <v>15</v>
      </c>
      <c r="I189" s="8">
        <v>1062.06</v>
      </c>
      <c r="J189" s="9">
        <v>2100</v>
      </c>
      <c r="K189" s="9">
        <v>1890</v>
      </c>
      <c r="L189" s="10"/>
    </row>
    <row r="190" spans="1:12" ht="13" x14ac:dyDescent="0.3">
      <c r="A190" s="5" t="s">
        <v>10</v>
      </c>
      <c r="B190" s="5" t="s">
        <v>11</v>
      </c>
      <c r="C190" s="5" t="s">
        <v>17</v>
      </c>
      <c r="D190" s="5" t="s">
        <v>274</v>
      </c>
      <c r="E190" s="5" t="s">
        <v>284</v>
      </c>
      <c r="F190" s="5" t="str" cm="1">
        <f t="array" ref="F190">_xlfn.IFS(J190&lt;750,$N$3,J190&lt;2000,$N$4,J190&lt;4000,$N$5,J190&gt;4000,$N$6)</f>
        <v>$2.000 a $4.000</v>
      </c>
      <c r="G190" s="4" t="s">
        <v>286</v>
      </c>
      <c r="H190" s="7" t="s">
        <v>15</v>
      </c>
      <c r="I190" s="8">
        <v>1216.9472727272728</v>
      </c>
      <c r="J190" s="9">
        <v>2100</v>
      </c>
      <c r="K190" s="9">
        <v>1890</v>
      </c>
      <c r="L190" s="10"/>
    </row>
    <row r="191" spans="1:12" ht="13" x14ac:dyDescent="0.3">
      <c r="A191" s="5" t="s">
        <v>10</v>
      </c>
      <c r="B191" s="5" t="s">
        <v>11</v>
      </c>
      <c r="C191" s="5" t="s">
        <v>12</v>
      </c>
      <c r="D191" s="5" t="s">
        <v>274</v>
      </c>
      <c r="E191" s="5" t="s">
        <v>284</v>
      </c>
      <c r="F191" s="5" t="str" cm="1">
        <f t="array" ref="F191">_xlfn.IFS(J191&lt;750,$N$3,J191&lt;2000,$N$4,J191&lt;4000,$N$5,J191&gt;4000,$N$6)</f>
        <v>$2.000 a $4.000</v>
      </c>
      <c r="G191" s="4" t="s">
        <v>751</v>
      </c>
      <c r="H191" s="7" t="s">
        <v>15</v>
      </c>
      <c r="I191" s="8">
        <v>1216.9472727272728</v>
      </c>
      <c r="J191" s="9">
        <v>2100</v>
      </c>
      <c r="K191" s="9">
        <v>1890</v>
      </c>
      <c r="L191" s="10"/>
    </row>
    <row r="192" spans="1:12" ht="13" x14ac:dyDescent="0.3">
      <c r="A192" s="5" t="s">
        <v>10</v>
      </c>
      <c r="B192" s="5" t="s">
        <v>11</v>
      </c>
      <c r="C192" s="5"/>
      <c r="D192" s="5" t="s">
        <v>274</v>
      </c>
      <c r="E192" s="5" t="s">
        <v>288</v>
      </c>
      <c r="F192" s="5" t="str" cm="1">
        <f t="array" ref="F192">_xlfn.IFS(J192&lt;750,$N$3,J192&lt;2000,$N$4,J192&lt;4000,$N$5,J192&gt;4000,$N$6)</f>
        <v>$2.000 a $4.000</v>
      </c>
      <c r="G192" s="4" t="s">
        <v>289</v>
      </c>
      <c r="H192" s="7" t="s">
        <v>15</v>
      </c>
      <c r="I192" s="8">
        <v>1593.0843636363636</v>
      </c>
      <c r="J192" s="9">
        <v>2880</v>
      </c>
      <c r="K192" s="9">
        <v>2592</v>
      </c>
      <c r="L192" s="10"/>
    </row>
    <row r="193" spans="1:12" ht="13" x14ac:dyDescent="0.3">
      <c r="A193" s="5" t="s">
        <v>10</v>
      </c>
      <c r="B193" s="5" t="s">
        <v>11</v>
      </c>
      <c r="C193" s="5" t="s">
        <v>23</v>
      </c>
      <c r="D193" s="5" t="s">
        <v>274</v>
      </c>
      <c r="E193" s="5" t="s">
        <v>290</v>
      </c>
      <c r="F193" s="5" t="str" cm="1">
        <f t="array" ref="F193">_xlfn.IFS(J193&lt;750,$N$3,J193&lt;2000,$N$4,J193&lt;4000,$N$5,J193&gt;4000,$N$6)</f>
        <v>$4.000 en adelante</v>
      </c>
      <c r="G193" s="4" t="s">
        <v>291</v>
      </c>
      <c r="H193" s="7" t="s">
        <v>103</v>
      </c>
      <c r="I193" s="8">
        <v>2704.0680000000002</v>
      </c>
      <c r="J193" s="9">
        <v>4990</v>
      </c>
      <c r="K193" s="9">
        <v>4491</v>
      </c>
      <c r="L193" s="10"/>
    </row>
    <row r="194" spans="1:12" ht="13" x14ac:dyDescent="0.3">
      <c r="A194" s="5" t="s">
        <v>10</v>
      </c>
      <c r="B194" s="5" t="s">
        <v>11</v>
      </c>
      <c r="C194" s="5" t="s">
        <v>23</v>
      </c>
      <c r="D194" s="5" t="s">
        <v>274</v>
      </c>
      <c r="E194" s="5" t="s">
        <v>292</v>
      </c>
      <c r="F194" s="5" t="str" cm="1">
        <f t="array" ref="F194">_xlfn.IFS(J194&lt;750,$N$3,J194&lt;2000,$N$4,J194&lt;4000,$N$5,J194&gt;4000,$N$6)</f>
        <v>$4.000 en adelante</v>
      </c>
      <c r="G194" s="4" t="s">
        <v>293</v>
      </c>
      <c r="H194" s="7" t="s">
        <v>294</v>
      </c>
      <c r="I194" s="8">
        <v>4186.2647999999999</v>
      </c>
      <c r="J194" s="9">
        <v>6660</v>
      </c>
      <c r="K194" s="9">
        <v>5994</v>
      </c>
      <c r="L194" s="10"/>
    </row>
    <row r="195" spans="1:12" ht="13" x14ac:dyDescent="0.3">
      <c r="A195" s="5" t="s">
        <v>10</v>
      </c>
      <c r="B195" s="5" t="s">
        <v>11</v>
      </c>
      <c r="C195" s="5" t="s">
        <v>37</v>
      </c>
      <c r="D195" s="5" t="s">
        <v>727</v>
      </c>
      <c r="E195" s="5" t="s">
        <v>728</v>
      </c>
      <c r="F195" s="5" t="str" cm="1">
        <f t="array" ref="F195">_xlfn.IFS(J195&lt;750,$N$3,J195&lt;2000,$N$4,J195&lt;4000,$N$5,J195&gt;4000,$N$6)</f>
        <v>$750 - $2.000</v>
      </c>
      <c r="G195" s="6" t="s">
        <v>689</v>
      </c>
      <c r="H195" s="7" t="s">
        <v>15</v>
      </c>
      <c r="I195" s="8">
        <v>562</v>
      </c>
      <c r="J195" s="9">
        <v>880</v>
      </c>
      <c r="K195" s="9">
        <v>792</v>
      </c>
      <c r="L195" s="10"/>
    </row>
    <row r="196" spans="1:12" ht="13" x14ac:dyDescent="0.3">
      <c r="A196" s="5" t="s">
        <v>10</v>
      </c>
      <c r="B196" s="5" t="s">
        <v>11</v>
      </c>
      <c r="C196" s="5" t="s">
        <v>17</v>
      </c>
      <c r="D196" s="5" t="s">
        <v>727</v>
      </c>
      <c r="E196" s="5" t="s">
        <v>728</v>
      </c>
      <c r="F196" s="5" t="str" cm="1">
        <f t="array" ref="F196">_xlfn.IFS(J196&lt;750,$N$3,J196&lt;2000,$N$4,J196&lt;4000,$N$5,J196&gt;4000,$N$6)</f>
        <v>$750 - $2.000</v>
      </c>
      <c r="G196" s="6" t="s">
        <v>690</v>
      </c>
      <c r="H196" s="7" t="s">
        <v>15</v>
      </c>
      <c r="I196" s="8">
        <v>562</v>
      </c>
      <c r="J196" s="9">
        <v>880</v>
      </c>
      <c r="K196" s="9">
        <v>792</v>
      </c>
      <c r="L196" s="10"/>
    </row>
    <row r="197" spans="1:12" ht="13" x14ac:dyDescent="0.3">
      <c r="A197" s="5" t="s">
        <v>10</v>
      </c>
      <c r="B197" s="5" t="s">
        <v>11</v>
      </c>
      <c r="C197" s="5" t="s">
        <v>24</v>
      </c>
      <c r="D197" s="5" t="s">
        <v>727</v>
      </c>
      <c r="E197" s="5" t="s">
        <v>728</v>
      </c>
      <c r="F197" s="5" t="str" cm="1">
        <f t="array" ref="F197">_xlfn.IFS(J197&lt;750,$N$3,J197&lt;2000,$N$4,J197&lt;4000,$N$5,J197&gt;4000,$N$6)</f>
        <v>$750 - $2.000</v>
      </c>
      <c r="G197" s="6" t="s">
        <v>774</v>
      </c>
      <c r="H197" s="7" t="s">
        <v>15</v>
      </c>
      <c r="I197" s="8">
        <v>697</v>
      </c>
      <c r="J197" s="9">
        <v>1100</v>
      </c>
      <c r="K197" s="9">
        <v>990</v>
      </c>
      <c r="L197" s="10"/>
    </row>
    <row r="198" spans="1:12" ht="13" x14ac:dyDescent="0.3">
      <c r="A198" s="5" t="s">
        <v>10</v>
      </c>
      <c r="B198" s="5" t="s">
        <v>11</v>
      </c>
      <c r="C198" s="5" t="s">
        <v>17</v>
      </c>
      <c r="D198" s="5" t="s">
        <v>727</v>
      </c>
      <c r="E198" s="5" t="s">
        <v>729</v>
      </c>
      <c r="F198" s="5" t="str" cm="1">
        <f t="array" ref="F198">_xlfn.IFS(J198&lt;750,$N$3,J198&lt;2000,$N$4,J198&lt;4000,$N$5,J198&gt;4000,$N$6)</f>
        <v>$750 - $2.000</v>
      </c>
      <c r="G198" s="6" t="s">
        <v>692</v>
      </c>
      <c r="H198" s="7" t="s">
        <v>15</v>
      </c>
      <c r="I198" s="8">
        <v>777</v>
      </c>
      <c r="J198" s="9">
        <v>1220</v>
      </c>
      <c r="K198" s="9">
        <v>1098</v>
      </c>
      <c r="L198" s="10"/>
    </row>
    <row r="199" spans="1:12" ht="13" x14ac:dyDescent="0.3">
      <c r="A199" s="5" t="s">
        <v>10</v>
      </c>
      <c r="B199" s="5" t="s">
        <v>11</v>
      </c>
      <c r="C199" s="5" t="s">
        <v>23</v>
      </c>
      <c r="D199" s="5" t="s">
        <v>727</v>
      </c>
      <c r="E199" s="5" t="s">
        <v>728</v>
      </c>
      <c r="F199" s="5" t="str" cm="1">
        <f t="array" ref="F199">_xlfn.IFS(J199&lt;750,$N$3,J199&lt;2000,$N$4,J199&lt;4000,$N$5,J199&gt;4000,$N$6)</f>
        <v>$750 - $2.000</v>
      </c>
      <c r="G199" s="6" t="s">
        <v>693</v>
      </c>
      <c r="H199" s="7" t="s">
        <v>15</v>
      </c>
      <c r="I199" s="8">
        <v>1193</v>
      </c>
      <c r="J199" s="9">
        <v>1880</v>
      </c>
      <c r="K199" s="9">
        <v>1692</v>
      </c>
      <c r="L199" s="10"/>
    </row>
    <row r="200" spans="1:12" ht="13" x14ac:dyDescent="0.3">
      <c r="A200" s="5" t="s">
        <v>10</v>
      </c>
      <c r="B200" s="5" t="s">
        <v>11</v>
      </c>
      <c r="C200" s="5" t="s">
        <v>17</v>
      </c>
      <c r="D200" s="5" t="s">
        <v>727</v>
      </c>
      <c r="E200" s="5" t="s">
        <v>730</v>
      </c>
      <c r="F200" s="5" t="str" cm="1">
        <f t="array" ref="F200">_xlfn.IFS(J200&lt;750,$N$3,J200&lt;2000,$N$4,J200&lt;4000,$N$5,J200&gt;4000,$N$6)</f>
        <v>$4.000 en adelante</v>
      </c>
      <c r="G200" s="6" t="s">
        <v>694</v>
      </c>
      <c r="H200" s="7" t="s">
        <v>15</v>
      </c>
      <c r="I200" s="8">
        <v>6000</v>
      </c>
      <c r="J200" s="9">
        <v>8780</v>
      </c>
      <c r="K200" s="9">
        <v>7902</v>
      </c>
      <c r="L200" s="10"/>
    </row>
    <row r="201" spans="1:12" ht="13" x14ac:dyDescent="0.3">
      <c r="A201" s="5" t="s">
        <v>10</v>
      </c>
      <c r="B201" s="5" t="s">
        <v>11</v>
      </c>
      <c r="C201" s="5" t="s">
        <v>17</v>
      </c>
      <c r="D201" s="5" t="s">
        <v>727</v>
      </c>
      <c r="E201" s="5" t="s">
        <v>730</v>
      </c>
      <c r="F201" s="5" t="str" cm="1">
        <f t="array" ref="F201">_xlfn.IFS(J201&lt;750,$N$3,J201&lt;2000,$N$4,J201&lt;4000,$N$5,J201&gt;4000,$N$6)</f>
        <v>$4.000 en adelante</v>
      </c>
      <c r="G201" s="6" t="s">
        <v>695</v>
      </c>
      <c r="H201" s="7" t="s">
        <v>15</v>
      </c>
      <c r="I201" s="8">
        <v>6900</v>
      </c>
      <c r="J201" s="9">
        <v>9890</v>
      </c>
      <c r="K201" s="9">
        <v>8901</v>
      </c>
      <c r="L201" s="10"/>
    </row>
    <row r="202" spans="1:12" ht="13" x14ac:dyDescent="0.3">
      <c r="A202" s="5" t="s">
        <v>10</v>
      </c>
      <c r="B202" s="5" t="s">
        <v>11</v>
      </c>
      <c r="C202" s="5" t="s">
        <v>23</v>
      </c>
      <c r="D202" s="5" t="s">
        <v>295</v>
      </c>
      <c r="E202" s="5" t="s">
        <v>296</v>
      </c>
      <c r="F202" s="5" t="str" cm="1">
        <f t="array" ref="F202">_xlfn.IFS(J202&lt;750,$N$3,J202&lt;2000,$N$4,J202&lt;4000,$N$5,J202&gt;4000,$N$6)</f>
        <v>$4.000 en adelante</v>
      </c>
      <c r="G202" s="6" t="s">
        <v>297</v>
      </c>
      <c r="H202" s="7" t="s">
        <v>15</v>
      </c>
      <c r="I202" s="8">
        <v>3322.6</v>
      </c>
      <c r="J202" s="9">
        <v>4770</v>
      </c>
      <c r="K202" s="9">
        <v>4293</v>
      </c>
      <c r="L202" s="10"/>
    </row>
    <row r="203" spans="1:12" ht="13" x14ac:dyDescent="0.3">
      <c r="A203" s="5" t="s">
        <v>10</v>
      </c>
      <c r="B203" s="5" t="s">
        <v>11</v>
      </c>
      <c r="C203" s="5" t="s">
        <v>23</v>
      </c>
      <c r="D203" s="5" t="s">
        <v>295</v>
      </c>
      <c r="E203" s="5" t="s">
        <v>296</v>
      </c>
      <c r="F203" s="5" t="str" cm="1">
        <f t="array" ref="F203">_xlfn.IFS(J203&lt;750,$N$3,J203&lt;2000,$N$4,J203&lt;4000,$N$5,J203&gt;4000,$N$6)</f>
        <v>$4.000 en adelante</v>
      </c>
      <c r="G203" s="6" t="s">
        <v>298</v>
      </c>
      <c r="H203" s="7" t="s">
        <v>15</v>
      </c>
      <c r="I203" s="8">
        <v>3322.6</v>
      </c>
      <c r="J203" s="9">
        <v>4770</v>
      </c>
      <c r="K203" s="9">
        <v>4293</v>
      </c>
      <c r="L203" s="10"/>
    </row>
    <row r="204" spans="1:12" ht="13" x14ac:dyDescent="0.3">
      <c r="A204" s="5" t="s">
        <v>10</v>
      </c>
      <c r="B204" s="5" t="s">
        <v>11</v>
      </c>
      <c r="C204" s="5" t="s">
        <v>17</v>
      </c>
      <c r="D204" s="5" t="s">
        <v>295</v>
      </c>
      <c r="E204" s="5" t="s">
        <v>299</v>
      </c>
      <c r="F204" s="5" t="str" cm="1">
        <f t="array" ref="F204">_xlfn.IFS(J204&lt;750,$N$3,J204&lt;2000,$N$4,J204&lt;4000,$N$5,J204&gt;4000,$N$6)</f>
        <v>$2.000 a $4.000</v>
      </c>
      <c r="G204" s="6" t="s">
        <v>300</v>
      </c>
      <c r="H204" s="7" t="s">
        <v>15</v>
      </c>
      <c r="I204" s="8">
        <v>2161.2156784246699</v>
      </c>
      <c r="J204" s="9">
        <v>3100</v>
      </c>
      <c r="K204" s="9">
        <v>2790</v>
      </c>
      <c r="L204" s="10"/>
    </row>
    <row r="205" spans="1:12" ht="13" x14ac:dyDescent="0.3">
      <c r="A205" s="5" t="s">
        <v>10</v>
      </c>
      <c r="B205" s="5" t="s">
        <v>11</v>
      </c>
      <c r="C205" s="5" t="s">
        <v>17</v>
      </c>
      <c r="D205" s="5" t="s">
        <v>295</v>
      </c>
      <c r="E205" s="5" t="s">
        <v>299</v>
      </c>
      <c r="F205" s="5" t="str" cm="1">
        <f t="array" ref="F205">_xlfn.IFS(J205&lt;750,$N$3,J205&lt;2000,$N$4,J205&lt;4000,$N$5,J205&gt;4000,$N$6)</f>
        <v>$2.000 a $4.000</v>
      </c>
      <c r="G205" s="6" t="s">
        <v>301</v>
      </c>
      <c r="H205" s="7" t="s">
        <v>15</v>
      </c>
      <c r="I205" s="8">
        <v>2701.0574047719779</v>
      </c>
      <c r="J205" s="9">
        <v>3880</v>
      </c>
      <c r="K205" s="9">
        <v>3492</v>
      </c>
      <c r="L205" s="10"/>
    </row>
    <row r="206" spans="1:12" ht="13" x14ac:dyDescent="0.3">
      <c r="A206" s="5" t="s">
        <v>10</v>
      </c>
      <c r="B206" s="5" t="s">
        <v>11</v>
      </c>
      <c r="C206" s="5" t="s">
        <v>17</v>
      </c>
      <c r="D206" s="5" t="s">
        <v>295</v>
      </c>
      <c r="E206" s="5" t="s">
        <v>302</v>
      </c>
      <c r="F206" s="5" t="str" cm="1">
        <f t="array" ref="F206">_xlfn.IFS(J206&lt;750,$N$3,J206&lt;2000,$N$4,J206&lt;4000,$N$5,J206&gt;4000,$N$6)</f>
        <v>$2.000 a $4.000</v>
      </c>
      <c r="G206" s="6" t="s">
        <v>303</v>
      </c>
      <c r="H206" s="7" t="s">
        <v>15</v>
      </c>
      <c r="I206" s="8">
        <v>1582.78</v>
      </c>
      <c r="J206" s="9">
        <v>2330</v>
      </c>
      <c r="K206" s="9">
        <v>2097</v>
      </c>
      <c r="L206" s="10"/>
    </row>
    <row r="207" spans="1:12" ht="13" x14ac:dyDescent="0.3">
      <c r="A207" s="5" t="s">
        <v>10</v>
      </c>
      <c r="B207" s="5" t="s">
        <v>11</v>
      </c>
      <c r="C207" s="5" t="s">
        <v>24</v>
      </c>
      <c r="D207" s="5" t="s">
        <v>295</v>
      </c>
      <c r="E207" s="5" t="s">
        <v>302</v>
      </c>
      <c r="F207" s="5" t="str" cm="1">
        <f t="array" ref="F207">_xlfn.IFS(J207&lt;750,$N$3,J207&lt;2000,$N$4,J207&lt;4000,$N$5,J207&gt;4000,$N$6)</f>
        <v>$2.000 a $4.000</v>
      </c>
      <c r="G207" s="4" t="s">
        <v>775</v>
      </c>
      <c r="H207" s="7" t="s">
        <v>15</v>
      </c>
      <c r="I207" s="8">
        <v>1582.78</v>
      </c>
      <c r="J207" s="9">
        <v>2330</v>
      </c>
      <c r="K207" s="9">
        <v>2097</v>
      </c>
      <c r="L207" s="10"/>
    </row>
    <row r="208" spans="1:12" ht="13" x14ac:dyDescent="0.3">
      <c r="A208" s="5" t="s">
        <v>10</v>
      </c>
      <c r="B208" s="5" t="s">
        <v>11</v>
      </c>
      <c r="C208" s="5" t="s">
        <v>12</v>
      </c>
      <c r="D208" s="5" t="s">
        <v>295</v>
      </c>
      <c r="E208" s="5" t="s">
        <v>302</v>
      </c>
      <c r="F208" s="5" t="str" cm="1">
        <f t="array" ref="F208">_xlfn.IFS(J208&lt;750,$N$3,J208&lt;2000,$N$4,J208&lt;4000,$N$5,J208&gt;4000,$N$6)</f>
        <v>$2.000 a $4.000</v>
      </c>
      <c r="G208" s="6" t="s">
        <v>752</v>
      </c>
      <c r="H208" s="7" t="s">
        <v>15</v>
      </c>
      <c r="I208" s="8">
        <v>1582.78</v>
      </c>
      <c r="J208" s="9">
        <v>2330</v>
      </c>
      <c r="K208" s="9">
        <v>2097</v>
      </c>
      <c r="L208" s="10"/>
    </row>
    <row r="209" spans="1:12" ht="13" x14ac:dyDescent="0.3">
      <c r="A209" s="5" t="s">
        <v>10</v>
      </c>
      <c r="B209" s="5" t="s">
        <v>11</v>
      </c>
      <c r="C209" s="5" t="s">
        <v>23</v>
      </c>
      <c r="D209" s="5" t="s">
        <v>295</v>
      </c>
      <c r="E209" s="5" t="s">
        <v>306</v>
      </c>
      <c r="F209" s="5" t="str" cm="1">
        <f t="array" ref="F209">_xlfn.IFS(J209&lt;750,$N$3,J209&lt;2000,$N$4,J209&lt;4000,$N$5,J209&gt;4000,$N$6)</f>
        <v>$750 - $2.000</v>
      </c>
      <c r="G209" s="6" t="s">
        <v>307</v>
      </c>
      <c r="H209" s="7" t="s">
        <v>15</v>
      </c>
      <c r="I209" s="8">
        <v>833.58</v>
      </c>
      <c r="J209" s="9">
        <v>1220</v>
      </c>
      <c r="K209" s="9">
        <v>1098</v>
      </c>
      <c r="L209" s="10"/>
    </row>
    <row r="210" spans="1:12" ht="13" x14ac:dyDescent="0.3">
      <c r="A210" s="5" t="s">
        <v>10</v>
      </c>
      <c r="B210" s="5" t="s">
        <v>11</v>
      </c>
      <c r="C210" s="5" t="s">
        <v>17</v>
      </c>
      <c r="D210" s="5" t="s">
        <v>295</v>
      </c>
      <c r="E210" s="5" t="s">
        <v>306</v>
      </c>
      <c r="F210" s="5" t="str" cm="1">
        <f t="array" ref="F210">_xlfn.IFS(J210&lt;750,$N$3,J210&lt;2000,$N$4,J210&lt;4000,$N$5,J210&gt;4000,$N$6)</f>
        <v>$750 - $2.000</v>
      </c>
      <c r="G210" s="6" t="s">
        <v>308</v>
      </c>
      <c r="H210" s="7" t="s">
        <v>15</v>
      </c>
      <c r="I210" s="8">
        <v>833.58</v>
      </c>
      <c r="J210" s="9">
        <v>1220</v>
      </c>
      <c r="K210" s="9">
        <v>1098</v>
      </c>
      <c r="L210" s="10"/>
    </row>
    <row r="211" spans="1:12" ht="13" x14ac:dyDescent="0.3">
      <c r="A211" s="5" t="s">
        <v>10</v>
      </c>
      <c r="B211" s="5" t="s">
        <v>11</v>
      </c>
      <c r="C211" s="5" t="s">
        <v>12</v>
      </c>
      <c r="D211" s="5" t="s">
        <v>295</v>
      </c>
      <c r="E211" s="5" t="s">
        <v>306</v>
      </c>
      <c r="F211" s="5" t="str" cm="1">
        <f t="array" ref="F211">_xlfn.IFS(J211&lt;750,$N$3,J211&lt;2000,$N$4,J211&lt;4000,$N$5,J211&gt;4000,$N$6)</f>
        <v>$750 - $2.000</v>
      </c>
      <c r="G211" s="6" t="s">
        <v>753</v>
      </c>
      <c r="H211" s="7" t="s">
        <v>15</v>
      </c>
      <c r="I211" s="8">
        <v>833.58</v>
      </c>
      <c r="J211" s="9">
        <v>1220</v>
      </c>
      <c r="K211" s="9">
        <v>1098</v>
      </c>
      <c r="L211" s="10"/>
    </row>
    <row r="212" spans="1:12" ht="13" x14ac:dyDescent="0.3">
      <c r="A212" s="5" t="s">
        <v>10</v>
      </c>
      <c r="B212" s="5" t="s">
        <v>11</v>
      </c>
      <c r="C212" s="5" t="s">
        <v>12</v>
      </c>
      <c r="D212" s="5" t="s">
        <v>295</v>
      </c>
      <c r="E212" s="5" t="s">
        <v>310</v>
      </c>
      <c r="F212" s="5" t="str" cm="1">
        <f t="array" ref="F212">_xlfn.IFS(J212&lt;750,$N$3,J212&lt;2000,$N$4,J212&lt;4000,$N$5,J212&gt;4000,$N$6)</f>
        <v>$750 - $2.000</v>
      </c>
      <c r="G212" s="6" t="s">
        <v>754</v>
      </c>
      <c r="H212" s="7" t="s">
        <v>15</v>
      </c>
      <c r="I212" s="8">
        <v>959.28</v>
      </c>
      <c r="J212" s="9">
        <v>1440</v>
      </c>
      <c r="K212" s="9">
        <v>1296</v>
      </c>
      <c r="L212" s="10"/>
    </row>
    <row r="213" spans="1:12" ht="13" x14ac:dyDescent="0.3">
      <c r="A213" s="5" t="s">
        <v>10</v>
      </c>
      <c r="B213" s="5" t="s">
        <v>11</v>
      </c>
      <c r="C213" s="5" t="s">
        <v>17</v>
      </c>
      <c r="D213" s="5" t="s">
        <v>295</v>
      </c>
      <c r="E213" s="5" t="s">
        <v>310</v>
      </c>
      <c r="F213" s="5" t="str" cm="1">
        <f t="array" ref="F213">_xlfn.IFS(J213&lt;750,$N$3,J213&lt;2000,$N$4,J213&lt;4000,$N$5,J213&gt;4000,$N$6)</f>
        <v>$750 - $2.000</v>
      </c>
      <c r="G213" s="6" t="s">
        <v>312</v>
      </c>
      <c r="H213" s="7" t="s">
        <v>15</v>
      </c>
      <c r="I213" s="8">
        <v>959.28</v>
      </c>
      <c r="J213" s="9">
        <v>1440</v>
      </c>
      <c r="K213" s="9">
        <v>1296</v>
      </c>
      <c r="L213" s="10"/>
    </row>
    <row r="214" spans="1:12" ht="13" x14ac:dyDescent="0.3">
      <c r="A214" s="5" t="s">
        <v>10</v>
      </c>
      <c r="B214" s="5" t="s">
        <v>11</v>
      </c>
      <c r="C214" s="5" t="s">
        <v>23</v>
      </c>
      <c r="D214" s="5" t="s">
        <v>295</v>
      </c>
      <c r="E214" s="5" t="s">
        <v>310</v>
      </c>
      <c r="F214" s="5" t="str" cm="1">
        <f t="array" ref="F214">_xlfn.IFS(J214&lt;750,$N$3,J214&lt;2000,$N$4,J214&lt;4000,$N$5,J214&gt;4000,$N$6)</f>
        <v>$750 - $2.000</v>
      </c>
      <c r="G214" s="6" t="s">
        <v>313</v>
      </c>
      <c r="H214" s="7" t="s">
        <v>15</v>
      </c>
      <c r="I214" s="8">
        <v>959.28</v>
      </c>
      <c r="J214" s="9">
        <v>1440</v>
      </c>
      <c r="K214" s="9">
        <v>1296</v>
      </c>
      <c r="L214" s="10"/>
    </row>
    <row r="215" spans="1:12" ht="13" x14ac:dyDescent="0.3">
      <c r="A215" s="5" t="s">
        <v>10</v>
      </c>
      <c r="B215" s="5" t="s">
        <v>11</v>
      </c>
      <c r="C215" s="5" t="s">
        <v>37</v>
      </c>
      <c r="D215" s="5" t="s">
        <v>295</v>
      </c>
      <c r="E215" s="5" t="s">
        <v>314</v>
      </c>
      <c r="F215" s="5" t="str" cm="1">
        <f t="array" ref="F215">_xlfn.IFS(J215&lt;750,$N$3,J215&lt;2000,$N$4,J215&lt;4000,$N$5,J215&gt;4000,$N$6)</f>
        <v>$750 - $2.000</v>
      </c>
      <c r="G215" s="6" t="s">
        <v>315</v>
      </c>
      <c r="H215" s="7" t="s">
        <v>15</v>
      </c>
      <c r="I215" s="8">
        <v>917.11</v>
      </c>
      <c r="J215" s="9">
        <v>1390</v>
      </c>
      <c r="K215" s="9">
        <v>1251</v>
      </c>
      <c r="L215" s="10"/>
    </row>
    <row r="216" spans="1:12" ht="13" x14ac:dyDescent="0.3">
      <c r="A216" s="5" t="s">
        <v>10</v>
      </c>
      <c r="B216" s="5" t="s">
        <v>19</v>
      </c>
      <c r="C216" s="5" t="s">
        <v>776</v>
      </c>
      <c r="D216" s="5" t="s">
        <v>295</v>
      </c>
      <c r="E216" s="5" t="s">
        <v>314</v>
      </c>
      <c r="F216" s="5" t="str" cm="1">
        <f t="array" ref="F216">_xlfn.IFS(J216&lt;750,$N$3,J216&lt;2000,$N$4,J216&lt;4000,$N$5,J216&gt;4000,$N$6)</f>
        <v>$750 - $2.000</v>
      </c>
      <c r="G216" s="6" t="s">
        <v>316</v>
      </c>
      <c r="H216" s="7" t="s">
        <v>15</v>
      </c>
      <c r="I216" s="8">
        <v>917.11</v>
      </c>
      <c r="J216" s="9">
        <v>1390</v>
      </c>
      <c r="K216" s="9">
        <v>1251</v>
      </c>
      <c r="L216" s="10"/>
    </row>
    <row r="217" spans="1:12" ht="13" x14ac:dyDescent="0.3">
      <c r="A217" s="5" t="s">
        <v>10</v>
      </c>
      <c r="B217" s="5" t="s">
        <v>19</v>
      </c>
      <c r="C217" s="5" t="s">
        <v>20</v>
      </c>
      <c r="D217" s="5" t="s">
        <v>295</v>
      </c>
      <c r="E217" s="5" t="s">
        <v>314</v>
      </c>
      <c r="F217" s="5" t="str" cm="1">
        <f t="array" ref="F217">_xlfn.IFS(J217&lt;750,$N$3,J217&lt;2000,$N$4,J217&lt;4000,$N$5,J217&gt;4000,$N$6)</f>
        <v>$750 - $2.000</v>
      </c>
      <c r="G217" s="6" t="s">
        <v>317</v>
      </c>
      <c r="H217" s="7" t="s">
        <v>15</v>
      </c>
      <c r="I217" s="8">
        <v>917.11</v>
      </c>
      <c r="J217" s="9">
        <v>1390</v>
      </c>
      <c r="K217" s="9">
        <v>1251</v>
      </c>
      <c r="L217" s="10"/>
    </row>
    <row r="218" spans="1:12" ht="13" x14ac:dyDescent="0.3">
      <c r="A218" s="5" t="s">
        <v>10</v>
      </c>
      <c r="B218" s="5" t="s">
        <v>11</v>
      </c>
      <c r="C218" s="5" t="s">
        <v>17</v>
      </c>
      <c r="D218" s="5" t="s">
        <v>318</v>
      </c>
      <c r="E218" s="5" t="s">
        <v>319</v>
      </c>
      <c r="F218" s="5" t="str" cm="1">
        <f t="array" ref="F218">_xlfn.IFS(J218&lt;750,$N$3,J218&lt;2000,$N$4,J218&lt;4000,$N$5,J218&gt;4000,$N$6)</f>
        <v>$2.000 a $4.000</v>
      </c>
      <c r="G218" s="6" t="s">
        <v>320</v>
      </c>
      <c r="H218" s="7" t="s">
        <v>15</v>
      </c>
      <c r="I218" s="8">
        <v>1943.4828946690084</v>
      </c>
      <c r="J218" s="9">
        <v>2880</v>
      </c>
      <c r="K218" s="9">
        <v>2592</v>
      </c>
      <c r="L218" s="10"/>
    </row>
    <row r="219" spans="1:12" ht="13" x14ac:dyDescent="0.3">
      <c r="A219" s="5" t="s">
        <v>10</v>
      </c>
      <c r="B219" s="5" t="s">
        <v>11</v>
      </c>
      <c r="C219" s="5" t="s">
        <v>23</v>
      </c>
      <c r="D219" s="5" t="s">
        <v>318</v>
      </c>
      <c r="E219" s="5" t="s">
        <v>321</v>
      </c>
      <c r="F219" s="5" t="str" cm="1">
        <f t="array" ref="F219">_xlfn.IFS(J219&lt;750,$N$3,J219&lt;2000,$N$4,J219&lt;4000,$N$5,J219&gt;4000,$N$6)</f>
        <v>$2.000 a $4.000</v>
      </c>
      <c r="G219" s="6" t="s">
        <v>321</v>
      </c>
      <c r="H219" s="7" t="s">
        <v>15</v>
      </c>
      <c r="I219" s="8">
        <v>1740.57</v>
      </c>
      <c r="J219" s="9">
        <v>2660</v>
      </c>
      <c r="K219" s="9">
        <v>2394</v>
      </c>
      <c r="L219" s="10"/>
    </row>
    <row r="220" spans="1:12" ht="13" x14ac:dyDescent="0.3">
      <c r="A220" s="5" t="s">
        <v>10</v>
      </c>
      <c r="B220" s="5" t="s">
        <v>11</v>
      </c>
      <c r="C220" s="5" t="s">
        <v>107</v>
      </c>
      <c r="D220" s="5" t="s">
        <v>318</v>
      </c>
      <c r="E220" s="5" t="s">
        <v>322</v>
      </c>
      <c r="F220" s="5" t="str" cm="1">
        <f t="array" ref="F220">_xlfn.IFS(J220&lt;750,$N$3,J220&lt;2000,$N$4,J220&lt;4000,$N$5,J220&gt;4000,$N$6)</f>
        <v>$2.000 a $4.000</v>
      </c>
      <c r="G220" s="6" t="s">
        <v>322</v>
      </c>
      <c r="H220" s="7" t="s">
        <v>15</v>
      </c>
      <c r="I220" s="8">
        <v>1424.1389999999999</v>
      </c>
      <c r="J220" s="9">
        <v>2100</v>
      </c>
      <c r="K220" s="9">
        <v>1890</v>
      </c>
      <c r="L220" s="10"/>
    </row>
    <row r="221" spans="1:12" ht="13" x14ac:dyDescent="0.3">
      <c r="A221" s="5" t="s">
        <v>10</v>
      </c>
      <c r="B221" s="5" t="s">
        <v>11</v>
      </c>
      <c r="C221" s="5" t="s">
        <v>17</v>
      </c>
      <c r="D221" s="5" t="s">
        <v>318</v>
      </c>
      <c r="E221" s="5" t="s">
        <v>323</v>
      </c>
      <c r="F221" s="5" t="str" cm="1">
        <f t="array" ref="F221">_xlfn.IFS(J221&lt;750,$N$3,J221&lt;2000,$N$4,J221&lt;4000,$N$5,J221&gt;4000,$N$6)</f>
        <v>$750 - $2.000</v>
      </c>
      <c r="G221" s="6" t="s">
        <v>696</v>
      </c>
      <c r="H221" s="7" t="s">
        <v>15</v>
      </c>
      <c r="I221" s="8">
        <v>730.43</v>
      </c>
      <c r="J221" s="9">
        <v>1060</v>
      </c>
      <c r="K221" s="9">
        <v>954</v>
      </c>
      <c r="L221" s="10"/>
    </row>
    <row r="222" spans="1:12" ht="13" x14ac:dyDescent="0.3">
      <c r="A222" s="5" t="s">
        <v>10</v>
      </c>
      <c r="B222" s="5" t="s">
        <v>11</v>
      </c>
      <c r="C222" s="5" t="s">
        <v>37</v>
      </c>
      <c r="D222" s="5" t="s">
        <v>318</v>
      </c>
      <c r="E222" s="5" t="s">
        <v>323</v>
      </c>
      <c r="F222" s="5" t="str" cm="1">
        <f t="array" ref="F222">_xlfn.IFS(J222&lt;750,$N$3,J222&lt;2000,$N$4,J222&lt;4000,$N$5,J222&gt;4000,$N$6)</f>
        <v>$750 - $2.000</v>
      </c>
      <c r="G222" s="6" t="s">
        <v>324</v>
      </c>
      <c r="H222" s="7" t="s">
        <v>15</v>
      </c>
      <c r="I222" s="8">
        <v>730.43</v>
      </c>
      <c r="J222" s="9">
        <v>1060</v>
      </c>
      <c r="K222" s="9">
        <v>954</v>
      </c>
      <c r="L222" s="10"/>
    </row>
    <row r="223" spans="1:12" ht="13" x14ac:dyDescent="0.3">
      <c r="A223" s="5" t="s">
        <v>10</v>
      </c>
      <c r="B223" s="5" t="s">
        <v>19</v>
      </c>
      <c r="C223" s="5" t="s">
        <v>23</v>
      </c>
      <c r="D223" s="5" t="s">
        <v>318</v>
      </c>
      <c r="E223" s="5" t="s">
        <v>323</v>
      </c>
      <c r="F223" s="5" t="str" cm="1">
        <f t="array" ref="F223">_xlfn.IFS(J223&lt;750,$N$3,J223&lt;2000,$N$4,J223&lt;4000,$N$5,J223&gt;4000,$N$6)</f>
        <v>$750 - $2.000</v>
      </c>
      <c r="G223" s="6" t="s">
        <v>325</v>
      </c>
      <c r="H223" s="7" t="s">
        <v>15</v>
      </c>
      <c r="I223" s="8">
        <v>730.43</v>
      </c>
      <c r="J223" s="9">
        <v>1060</v>
      </c>
      <c r="K223" s="9">
        <v>954</v>
      </c>
      <c r="L223" s="10"/>
    </row>
    <row r="224" spans="1:12" ht="13" x14ac:dyDescent="0.3">
      <c r="A224" s="5" t="s">
        <v>10</v>
      </c>
      <c r="B224" s="5" t="s">
        <v>11</v>
      </c>
      <c r="C224" s="5" t="s">
        <v>17</v>
      </c>
      <c r="D224" s="5" t="s">
        <v>318</v>
      </c>
      <c r="E224" s="5" t="s">
        <v>731</v>
      </c>
      <c r="F224" s="5" t="str" cm="1">
        <f t="array" ref="F224">_xlfn.IFS(J224&lt;750,$N$3,J224&lt;2000,$N$4,J224&lt;4000,$N$5,J224&gt;4000,$N$6)</f>
        <v>$0 - $750</v>
      </c>
      <c r="G224" s="6" t="s">
        <v>697</v>
      </c>
      <c r="H224" s="7" t="s">
        <v>15</v>
      </c>
      <c r="I224" s="8">
        <v>457.08</v>
      </c>
      <c r="J224" s="9">
        <v>660</v>
      </c>
      <c r="K224" s="9">
        <v>594</v>
      </c>
      <c r="L224" s="10"/>
    </row>
    <row r="225" spans="1:12" ht="13" x14ac:dyDescent="0.3">
      <c r="A225" s="5" t="s">
        <v>10</v>
      </c>
      <c r="B225" s="5" t="s">
        <v>11</v>
      </c>
      <c r="C225" s="5" t="s">
        <v>12</v>
      </c>
      <c r="D225" s="5" t="s">
        <v>318</v>
      </c>
      <c r="E225" s="5" t="s">
        <v>731</v>
      </c>
      <c r="F225" s="5" t="str" cm="1">
        <f t="array" ref="F225">_xlfn.IFS(J225&lt;750,$N$3,J225&lt;2000,$N$4,J225&lt;4000,$N$5,J225&gt;4000,$N$6)</f>
        <v>$0 - $750</v>
      </c>
      <c r="G225" s="6" t="s">
        <v>755</v>
      </c>
      <c r="H225" s="7" t="s">
        <v>15</v>
      </c>
      <c r="I225" s="8">
        <v>457.08</v>
      </c>
      <c r="J225" s="9">
        <v>660</v>
      </c>
      <c r="K225" s="9">
        <v>594</v>
      </c>
      <c r="L225" s="10"/>
    </row>
    <row r="226" spans="1:12" ht="13" x14ac:dyDescent="0.3">
      <c r="A226" s="5" t="s">
        <v>10</v>
      </c>
      <c r="B226" s="5" t="s">
        <v>11</v>
      </c>
      <c r="C226" s="5" t="s">
        <v>23</v>
      </c>
      <c r="D226" s="5" t="s">
        <v>318</v>
      </c>
      <c r="E226" s="5" t="s">
        <v>731</v>
      </c>
      <c r="F226" s="5" t="str" cm="1">
        <f t="array" ref="F226">_xlfn.IFS(J226&lt;750,$N$3,J226&lt;2000,$N$4,J226&lt;4000,$N$5,J226&gt;4000,$N$6)</f>
        <v>$0 - $750</v>
      </c>
      <c r="G226" s="6" t="s">
        <v>699</v>
      </c>
      <c r="H226" s="7" t="s">
        <v>15</v>
      </c>
      <c r="I226" s="8">
        <v>457.08</v>
      </c>
      <c r="J226" s="9">
        <v>660</v>
      </c>
      <c r="K226" s="9">
        <v>594</v>
      </c>
      <c r="L226" s="10"/>
    </row>
    <row r="227" spans="1:12" ht="13" x14ac:dyDescent="0.3">
      <c r="A227" s="5" t="s">
        <v>10</v>
      </c>
      <c r="B227" s="5" t="s">
        <v>11</v>
      </c>
      <c r="C227" s="5" t="s">
        <v>23</v>
      </c>
      <c r="D227" s="5" t="s">
        <v>326</v>
      </c>
      <c r="E227" s="5" t="s">
        <v>327</v>
      </c>
      <c r="F227" s="5" t="str" cm="1">
        <f t="array" ref="F227">_xlfn.IFS(J227&lt;750,$N$3,J227&lt;2000,$N$4,J227&lt;4000,$N$5,J227&gt;4000,$N$6)</f>
        <v>$2.000 a $4.000</v>
      </c>
      <c r="G227" s="6" t="s">
        <v>328</v>
      </c>
      <c r="H227" s="7" t="s">
        <v>103</v>
      </c>
      <c r="I227" s="8">
        <v>2445.3587715864755</v>
      </c>
      <c r="J227" s="9">
        <v>3550</v>
      </c>
      <c r="K227" s="9">
        <v>3195</v>
      </c>
      <c r="L227" s="10"/>
    </row>
    <row r="228" spans="1:12" ht="13" x14ac:dyDescent="0.3">
      <c r="A228" s="5" t="s">
        <v>10</v>
      </c>
      <c r="B228" s="5" t="s">
        <v>11</v>
      </c>
      <c r="C228" s="5" t="s">
        <v>23</v>
      </c>
      <c r="D228" s="5" t="s">
        <v>326</v>
      </c>
      <c r="E228" s="5" t="s">
        <v>329</v>
      </c>
      <c r="F228" s="5" t="str" cm="1">
        <f t="array" ref="F228">_xlfn.IFS(J228&lt;750,$N$3,J228&lt;2000,$N$4,J228&lt;4000,$N$5,J228&gt;4000,$N$6)</f>
        <v>$2.000 a $4.000</v>
      </c>
      <c r="G228" s="6" t="s">
        <v>330</v>
      </c>
      <c r="H228" s="7" t="s">
        <v>59</v>
      </c>
      <c r="I228" s="8">
        <v>2047.03</v>
      </c>
      <c r="J228" s="9">
        <v>3100</v>
      </c>
      <c r="K228" s="9">
        <v>2790</v>
      </c>
      <c r="L228" s="10"/>
    </row>
    <row r="229" spans="1:12" ht="13" x14ac:dyDescent="0.3">
      <c r="A229" s="5" t="s">
        <v>10</v>
      </c>
      <c r="B229" s="5" t="s">
        <v>11</v>
      </c>
      <c r="C229" s="5" t="s">
        <v>12</v>
      </c>
      <c r="D229" s="5" t="s">
        <v>326</v>
      </c>
      <c r="E229" s="5" t="s">
        <v>331</v>
      </c>
      <c r="F229" s="5" t="str" cm="1">
        <f t="array" ref="F229">_xlfn.IFS(J229&lt;750,$N$3,J229&lt;2000,$N$4,J229&lt;4000,$N$5,J229&gt;4000,$N$6)</f>
        <v>$750 - $2.000</v>
      </c>
      <c r="G229" s="6" t="s">
        <v>332</v>
      </c>
      <c r="H229" s="7" t="s">
        <v>15</v>
      </c>
      <c r="I229" s="8">
        <v>1345.2940000000003</v>
      </c>
      <c r="J229" s="9">
        <v>1990</v>
      </c>
      <c r="K229" s="9">
        <v>1791</v>
      </c>
      <c r="L229" s="10"/>
    </row>
    <row r="230" spans="1:12" ht="13" x14ac:dyDescent="0.3">
      <c r="A230" s="5" t="s">
        <v>10</v>
      </c>
      <c r="B230" s="5" t="s">
        <v>11</v>
      </c>
      <c r="C230" s="5" t="s">
        <v>24</v>
      </c>
      <c r="D230" s="5" t="s">
        <v>326</v>
      </c>
      <c r="E230" s="5" t="s">
        <v>331</v>
      </c>
      <c r="F230" s="5" t="str" cm="1">
        <f t="array" ref="F230">_xlfn.IFS(J230&lt;750,$N$3,J230&lt;2000,$N$4,J230&lt;4000,$N$5,J230&gt;4000,$N$6)</f>
        <v>$750 - $2.000</v>
      </c>
      <c r="G230" s="6" t="s">
        <v>333</v>
      </c>
      <c r="H230" s="7" t="s">
        <v>15</v>
      </c>
      <c r="I230" s="8">
        <v>1345.2940000000003</v>
      </c>
      <c r="J230" s="9">
        <v>1990</v>
      </c>
      <c r="K230" s="9">
        <v>1791</v>
      </c>
      <c r="L230" s="10"/>
    </row>
    <row r="231" spans="1:12" ht="13" x14ac:dyDescent="0.3">
      <c r="A231" s="5" t="s">
        <v>10</v>
      </c>
      <c r="B231" s="5" t="s">
        <v>11</v>
      </c>
      <c r="C231" s="5" t="s">
        <v>17</v>
      </c>
      <c r="D231" s="5" t="s">
        <v>326</v>
      </c>
      <c r="E231" s="5" t="s">
        <v>331</v>
      </c>
      <c r="F231" s="5" t="str" cm="1">
        <f t="array" ref="F231">_xlfn.IFS(J231&lt;750,$N$3,J231&lt;2000,$N$4,J231&lt;4000,$N$5,J231&gt;4000,$N$6)</f>
        <v>$750 - $2.000</v>
      </c>
      <c r="G231" s="6" t="s">
        <v>334</v>
      </c>
      <c r="H231" s="7" t="s">
        <v>15</v>
      </c>
      <c r="I231" s="8">
        <v>1345.2940000000003</v>
      </c>
      <c r="J231" s="9">
        <v>1990</v>
      </c>
      <c r="K231" s="9">
        <v>1791</v>
      </c>
      <c r="L231" s="10"/>
    </row>
    <row r="232" spans="1:12" ht="13" x14ac:dyDescent="0.3">
      <c r="A232" s="5" t="s">
        <v>10</v>
      </c>
      <c r="B232" s="5" t="s">
        <v>11</v>
      </c>
      <c r="C232" s="5" t="s">
        <v>17</v>
      </c>
      <c r="D232" s="5" t="s">
        <v>326</v>
      </c>
      <c r="E232" s="5" t="s">
        <v>335</v>
      </c>
      <c r="F232" s="5" t="str" cm="1">
        <f t="array" ref="F232">_xlfn.IFS(J232&lt;750,$N$3,J232&lt;2000,$N$4,J232&lt;4000,$N$5,J232&gt;4000,$N$6)</f>
        <v>$750 - $2.000</v>
      </c>
      <c r="G232" s="6" t="s">
        <v>336</v>
      </c>
      <c r="H232" s="7" t="s">
        <v>15</v>
      </c>
      <c r="I232" s="8">
        <v>1042.1099999999999</v>
      </c>
      <c r="J232" s="9">
        <v>1550</v>
      </c>
      <c r="K232" s="9">
        <v>1395</v>
      </c>
      <c r="L232" s="10"/>
    </row>
    <row r="233" spans="1:12" ht="13" x14ac:dyDescent="0.3">
      <c r="A233" s="5" t="s">
        <v>10</v>
      </c>
      <c r="B233" s="5" t="s">
        <v>11</v>
      </c>
      <c r="C233" s="5" t="s">
        <v>12</v>
      </c>
      <c r="D233" s="5" t="s">
        <v>326</v>
      </c>
      <c r="E233" s="5" t="s">
        <v>335</v>
      </c>
      <c r="F233" s="5" t="str" cm="1">
        <f t="array" ref="F233">_xlfn.IFS(J233&lt;750,$N$3,J233&lt;2000,$N$4,J233&lt;4000,$N$5,J233&gt;4000,$N$6)</f>
        <v>$750 - $2.000</v>
      </c>
      <c r="G233" s="6" t="s">
        <v>756</v>
      </c>
      <c r="H233" s="7" t="s">
        <v>15</v>
      </c>
      <c r="I233" s="8">
        <v>1042.1099999999999</v>
      </c>
      <c r="J233" s="9">
        <v>1550</v>
      </c>
      <c r="K233" s="9">
        <v>1395</v>
      </c>
      <c r="L233" s="10"/>
    </row>
    <row r="234" spans="1:12" ht="13" x14ac:dyDescent="0.3">
      <c r="A234" s="5" t="s">
        <v>10</v>
      </c>
      <c r="B234" s="5" t="s">
        <v>19</v>
      </c>
      <c r="C234" s="5" t="s">
        <v>171</v>
      </c>
      <c r="D234" s="5" t="s">
        <v>326</v>
      </c>
      <c r="E234" s="5" t="s">
        <v>335</v>
      </c>
      <c r="F234" s="5" t="str" cm="1">
        <f t="array" ref="F234">_xlfn.IFS(J234&lt;750,$N$3,J234&lt;2000,$N$4,J234&lt;4000,$N$5,J234&gt;4000,$N$6)</f>
        <v>$750 - $2.000</v>
      </c>
      <c r="G234" s="6" t="s">
        <v>338</v>
      </c>
      <c r="H234" s="7" t="s">
        <v>15</v>
      </c>
      <c r="I234" s="8">
        <v>1042.1099999999999</v>
      </c>
      <c r="J234" s="9">
        <v>1550</v>
      </c>
      <c r="K234" s="9">
        <v>1395</v>
      </c>
      <c r="L234" s="10"/>
    </row>
    <row r="235" spans="1:12" ht="13" x14ac:dyDescent="0.3">
      <c r="A235" s="5" t="s">
        <v>10</v>
      </c>
      <c r="B235" s="5" t="s">
        <v>11</v>
      </c>
      <c r="C235" s="5" t="s">
        <v>17</v>
      </c>
      <c r="D235" s="5" t="s">
        <v>326</v>
      </c>
      <c r="E235" s="5" t="s">
        <v>326</v>
      </c>
      <c r="F235" s="5" t="str" cm="1">
        <f t="array" ref="F235">_xlfn.IFS(J235&lt;750,$N$3,J235&lt;2000,$N$4,J235&lt;4000,$N$5,J235&gt;4000,$N$6)</f>
        <v>$750 - $2.000</v>
      </c>
      <c r="G235" s="6" t="s">
        <v>339</v>
      </c>
      <c r="H235" s="7" t="s">
        <v>15</v>
      </c>
      <c r="I235" s="8">
        <v>833.56100000000026</v>
      </c>
      <c r="J235" s="9">
        <v>1220</v>
      </c>
      <c r="K235" s="9">
        <v>1098</v>
      </c>
      <c r="L235" s="10"/>
    </row>
    <row r="236" spans="1:12" ht="13" x14ac:dyDescent="0.3">
      <c r="A236" s="5" t="s">
        <v>10</v>
      </c>
      <c r="B236" s="5" t="s">
        <v>11</v>
      </c>
      <c r="C236" s="5" t="s">
        <v>12</v>
      </c>
      <c r="D236" s="5" t="s">
        <v>326</v>
      </c>
      <c r="E236" s="5" t="s">
        <v>326</v>
      </c>
      <c r="F236" s="5" t="str" cm="1">
        <f t="array" ref="F236">_xlfn.IFS(J236&lt;750,$N$3,J236&lt;2000,$N$4,J236&lt;4000,$N$5,J236&gt;4000,$N$6)</f>
        <v>$750 - $2.000</v>
      </c>
      <c r="G236" s="6" t="s">
        <v>757</v>
      </c>
      <c r="H236" s="7" t="s">
        <v>15</v>
      </c>
      <c r="I236" s="8">
        <v>833.56100000000026</v>
      </c>
      <c r="J236" s="9">
        <v>1220</v>
      </c>
      <c r="K236" s="9">
        <v>1098</v>
      </c>
      <c r="L236" s="10"/>
    </row>
    <row r="237" spans="1:12" ht="13" x14ac:dyDescent="0.3">
      <c r="A237" s="5" t="s">
        <v>10</v>
      </c>
      <c r="B237" s="5" t="s">
        <v>19</v>
      </c>
      <c r="C237" s="5" t="s">
        <v>23</v>
      </c>
      <c r="D237" s="5" t="s">
        <v>326</v>
      </c>
      <c r="E237" s="5" t="s">
        <v>326</v>
      </c>
      <c r="F237" s="5" t="str" cm="1">
        <f t="array" ref="F237">_xlfn.IFS(J237&lt;750,$N$3,J237&lt;2000,$N$4,J237&lt;4000,$N$5,J237&gt;4000,$N$6)</f>
        <v>$750 - $2.000</v>
      </c>
      <c r="G237" s="6" t="s">
        <v>341</v>
      </c>
      <c r="H237" s="7" t="s">
        <v>59</v>
      </c>
      <c r="I237" s="8">
        <v>833.56100000000026</v>
      </c>
      <c r="J237" s="9">
        <v>1220</v>
      </c>
      <c r="K237" s="9">
        <v>1098</v>
      </c>
      <c r="L237" s="10"/>
    </row>
    <row r="238" spans="1:12" ht="13" x14ac:dyDescent="0.3">
      <c r="A238" s="5" t="s">
        <v>10</v>
      </c>
      <c r="B238" s="5" t="s">
        <v>28</v>
      </c>
      <c r="C238" s="5" t="s">
        <v>393</v>
      </c>
      <c r="D238" s="5" t="s">
        <v>326</v>
      </c>
      <c r="E238" s="5" t="s">
        <v>326</v>
      </c>
      <c r="F238" s="5" t="str" cm="1">
        <f t="array" ref="F238">_xlfn.IFS(J238&lt;750,$N$3,J238&lt;2000,$N$4,J238&lt;4000,$N$5,J238&gt;4000,$N$6)</f>
        <v>$750 - $2.000</v>
      </c>
      <c r="G238" s="6" t="s">
        <v>342</v>
      </c>
      <c r="H238" s="7" t="s">
        <v>59</v>
      </c>
      <c r="I238" s="8">
        <v>833.56100000000026</v>
      </c>
      <c r="J238" s="9">
        <v>1220</v>
      </c>
      <c r="K238" s="9">
        <v>1098</v>
      </c>
      <c r="L238" s="10"/>
    </row>
    <row r="239" spans="1:12" ht="13" x14ac:dyDescent="0.3">
      <c r="A239" s="5" t="s">
        <v>10</v>
      </c>
      <c r="B239" s="5" t="s">
        <v>11</v>
      </c>
      <c r="C239" s="5"/>
      <c r="D239" s="5" t="s">
        <v>343</v>
      </c>
      <c r="E239" s="5" t="s">
        <v>344</v>
      </c>
      <c r="F239" s="5" t="str" cm="1">
        <f t="array" ref="F239">_xlfn.IFS(J239&lt;750,$N$3,J239&lt;2000,$N$4,J239&lt;4000,$N$5,J239&gt;4000,$N$6)</f>
        <v>$2.000 a $4.000</v>
      </c>
      <c r="G239" s="6" t="s">
        <v>344</v>
      </c>
      <c r="H239" s="7" t="s">
        <v>15</v>
      </c>
      <c r="I239" s="8">
        <v>2134.2109709007414</v>
      </c>
      <c r="J239" s="9">
        <v>3220</v>
      </c>
      <c r="K239" s="9">
        <v>2898</v>
      </c>
      <c r="L239" s="10"/>
    </row>
    <row r="240" spans="1:12" ht="13" x14ac:dyDescent="0.3">
      <c r="A240" s="5" t="s">
        <v>10</v>
      </c>
      <c r="B240" s="5" t="s">
        <v>11</v>
      </c>
      <c r="C240" s="5"/>
      <c r="D240" s="5" t="s">
        <v>343</v>
      </c>
      <c r="E240" s="5" t="s">
        <v>345</v>
      </c>
      <c r="F240" s="5" t="str" cm="1">
        <f t="array" ref="F240">_xlfn.IFS(J240&lt;750,$N$3,J240&lt;2000,$N$4,J240&lt;4000,$N$5,J240&gt;4000,$N$6)</f>
        <v>$2.000 a $4.000</v>
      </c>
      <c r="G240" s="6" t="s">
        <v>345</v>
      </c>
      <c r="H240" s="7" t="s">
        <v>15</v>
      </c>
      <c r="I240" s="8">
        <v>1856.6612895378801</v>
      </c>
      <c r="J240" s="9">
        <v>2770</v>
      </c>
      <c r="K240" s="9">
        <v>2493</v>
      </c>
      <c r="L240" s="10"/>
    </row>
    <row r="241" spans="1:12" ht="13" x14ac:dyDescent="0.3">
      <c r="A241" s="5" t="s">
        <v>10</v>
      </c>
      <c r="B241" s="5" t="s">
        <v>11</v>
      </c>
      <c r="C241" s="5"/>
      <c r="D241" s="5" t="s">
        <v>343</v>
      </c>
      <c r="E241" s="5" t="s">
        <v>346</v>
      </c>
      <c r="F241" s="5" t="str" cm="1">
        <f t="array" ref="F241">_xlfn.IFS(J241&lt;750,$N$3,J241&lt;2000,$N$4,J241&lt;4000,$N$5,J241&gt;4000,$N$6)</f>
        <v>$750 - $2.000</v>
      </c>
      <c r="G241" s="4" t="s">
        <v>346</v>
      </c>
      <c r="H241" s="7" t="s">
        <v>15</v>
      </c>
      <c r="I241" s="8">
        <v>1186.74</v>
      </c>
      <c r="J241" s="9">
        <v>1770</v>
      </c>
      <c r="K241" s="9">
        <v>1593</v>
      </c>
      <c r="L241" s="10"/>
    </row>
    <row r="242" spans="1:12" ht="13" x14ac:dyDescent="0.3">
      <c r="A242" s="5" t="s">
        <v>10</v>
      </c>
      <c r="B242" s="5" t="s">
        <v>11</v>
      </c>
      <c r="C242" s="5" t="s">
        <v>12</v>
      </c>
      <c r="D242" s="5" t="s">
        <v>343</v>
      </c>
      <c r="E242" s="5" t="s">
        <v>347</v>
      </c>
      <c r="F242" s="5" t="str" cm="1">
        <f t="array" ref="F242">_xlfn.IFS(J242&lt;750,$N$3,J242&lt;2000,$N$4,J242&lt;4000,$N$5,J242&gt;4000,$N$6)</f>
        <v>$750 - $2.000</v>
      </c>
      <c r="G242" s="6" t="s">
        <v>758</v>
      </c>
      <c r="H242" s="7" t="s">
        <v>15</v>
      </c>
      <c r="I242" s="8">
        <v>792.19</v>
      </c>
      <c r="J242" s="9">
        <v>1170</v>
      </c>
      <c r="K242" s="9">
        <v>1053</v>
      </c>
      <c r="L242" s="10"/>
    </row>
    <row r="243" spans="1:12" ht="13" x14ac:dyDescent="0.3">
      <c r="A243" s="5" t="s">
        <v>10</v>
      </c>
      <c r="B243" s="5" t="s">
        <v>11</v>
      </c>
      <c r="C243" s="5" t="s">
        <v>17</v>
      </c>
      <c r="D243" s="5" t="s">
        <v>343</v>
      </c>
      <c r="E243" s="5" t="s">
        <v>347</v>
      </c>
      <c r="F243" s="5" t="str" cm="1">
        <f t="array" ref="F243">_xlfn.IFS(J243&lt;750,$N$3,J243&lt;2000,$N$4,J243&lt;4000,$N$5,J243&gt;4000,$N$6)</f>
        <v>$750 - $2.000</v>
      </c>
      <c r="G243" s="6" t="s">
        <v>349</v>
      </c>
      <c r="H243" s="7" t="s">
        <v>15</v>
      </c>
      <c r="I243" s="8">
        <v>792.19</v>
      </c>
      <c r="J243" s="9">
        <v>1170</v>
      </c>
      <c r="K243" s="9">
        <v>1053</v>
      </c>
      <c r="L243" s="10"/>
    </row>
    <row r="244" spans="1:12" ht="13" x14ac:dyDescent="0.3">
      <c r="A244" s="5" t="s">
        <v>10</v>
      </c>
      <c r="B244" s="5" t="s">
        <v>11</v>
      </c>
      <c r="C244" s="5" t="s">
        <v>17</v>
      </c>
      <c r="D244" s="5" t="s">
        <v>350</v>
      </c>
      <c r="E244" s="5" t="s">
        <v>350</v>
      </c>
      <c r="F244" s="5" t="str" cm="1">
        <f t="array" ref="F244">_xlfn.IFS(J244&lt;750,$N$3,J244&lt;2000,$N$4,J244&lt;4000,$N$5,J244&gt;4000,$N$6)</f>
        <v>$750 - $2.000</v>
      </c>
      <c r="G244" s="6" t="s">
        <v>351</v>
      </c>
      <c r="H244" s="7" t="s">
        <v>15</v>
      </c>
      <c r="I244" s="8">
        <v>609.66</v>
      </c>
      <c r="J244" s="9">
        <v>880</v>
      </c>
      <c r="K244" s="9">
        <v>792</v>
      </c>
      <c r="L244" s="10"/>
    </row>
    <row r="245" spans="1:12" ht="13" x14ac:dyDescent="0.3">
      <c r="A245" s="5" t="s">
        <v>10</v>
      </c>
      <c r="B245" s="5" t="s">
        <v>11</v>
      </c>
      <c r="C245" s="5" t="s">
        <v>12</v>
      </c>
      <c r="D245" s="5" t="s">
        <v>350</v>
      </c>
      <c r="E245" s="5" t="s">
        <v>350</v>
      </c>
      <c r="F245" s="5" t="str" cm="1">
        <f t="array" ref="F245">_xlfn.IFS(J245&lt;750,$N$3,J245&lt;2000,$N$4,J245&lt;4000,$N$5,J245&gt;4000,$N$6)</f>
        <v>$750 - $2.000</v>
      </c>
      <c r="G245" s="6" t="s">
        <v>759</v>
      </c>
      <c r="H245" s="7" t="s">
        <v>15</v>
      </c>
      <c r="I245" s="8">
        <v>609.66</v>
      </c>
      <c r="J245" s="9">
        <v>880</v>
      </c>
      <c r="K245" s="9">
        <v>792</v>
      </c>
      <c r="L245" s="10"/>
    </row>
    <row r="246" spans="1:12" ht="13" x14ac:dyDescent="0.3">
      <c r="A246" s="5" t="s">
        <v>10</v>
      </c>
      <c r="B246" s="5" t="s">
        <v>19</v>
      </c>
      <c r="C246" s="5" t="s">
        <v>20</v>
      </c>
      <c r="D246" s="5" t="s">
        <v>350</v>
      </c>
      <c r="E246" s="5" t="s">
        <v>350</v>
      </c>
      <c r="F246" s="5" t="str" cm="1">
        <f t="array" ref="F246">_xlfn.IFS(J246&lt;750,$N$3,J246&lt;2000,$N$4,J246&lt;4000,$N$5,J246&gt;4000,$N$6)</f>
        <v>$750 - $2.000</v>
      </c>
      <c r="G246" s="6" t="s">
        <v>353</v>
      </c>
      <c r="H246" s="7" t="s">
        <v>15</v>
      </c>
      <c r="I246" s="8">
        <v>609.66</v>
      </c>
      <c r="J246" s="9">
        <v>880</v>
      </c>
      <c r="K246" s="9">
        <v>792</v>
      </c>
      <c r="L246" s="10"/>
    </row>
    <row r="247" spans="1:12" ht="13" x14ac:dyDescent="0.3">
      <c r="A247" s="5" t="s">
        <v>10</v>
      </c>
      <c r="B247" s="5" t="s">
        <v>354</v>
      </c>
      <c r="C247" s="5" t="s">
        <v>393</v>
      </c>
      <c r="D247" s="5" t="s">
        <v>350</v>
      </c>
      <c r="E247" s="5" t="s">
        <v>350</v>
      </c>
      <c r="F247" s="5" t="str" cm="1">
        <f t="array" ref="F247">_xlfn.IFS(J247&lt;750,$N$3,J247&lt;2000,$N$4,J247&lt;4000,$N$5,J247&gt;4000,$N$6)</f>
        <v>$750 - $2.000</v>
      </c>
      <c r="G247" s="6" t="s">
        <v>355</v>
      </c>
      <c r="H247" s="7" t="s">
        <v>15</v>
      </c>
      <c r="I247" s="8">
        <v>609.66</v>
      </c>
      <c r="J247" s="9">
        <v>880</v>
      </c>
      <c r="K247" s="9">
        <v>792</v>
      </c>
      <c r="L247" s="10"/>
    </row>
    <row r="248" spans="1:12" ht="13" x14ac:dyDescent="0.3">
      <c r="A248" s="5" t="s">
        <v>10</v>
      </c>
      <c r="B248" s="5" t="s">
        <v>11</v>
      </c>
      <c r="C248" s="5" t="s">
        <v>17</v>
      </c>
      <c r="D248" s="5" t="s">
        <v>350</v>
      </c>
      <c r="E248" s="5" t="s">
        <v>356</v>
      </c>
      <c r="F248" s="5" t="str" cm="1">
        <f t="array" ref="F248">_xlfn.IFS(J248&lt;750,$N$3,J248&lt;2000,$N$4,J248&lt;4000,$N$5,J248&gt;4000,$N$6)</f>
        <v>$750 - $2.000</v>
      </c>
      <c r="G248" s="6" t="s">
        <v>357</v>
      </c>
      <c r="H248" s="7" t="s">
        <v>15</v>
      </c>
      <c r="I248" s="8">
        <v>1116.68</v>
      </c>
      <c r="J248" s="9">
        <v>1840</v>
      </c>
      <c r="K248" s="9">
        <v>1656</v>
      </c>
      <c r="L248" s="10"/>
    </row>
    <row r="249" spans="1:12" ht="13" x14ac:dyDescent="0.3">
      <c r="A249" s="5" t="s">
        <v>10</v>
      </c>
      <c r="B249" s="5" t="s">
        <v>11</v>
      </c>
      <c r="C249" s="5" t="s">
        <v>12</v>
      </c>
      <c r="D249" s="5" t="s">
        <v>350</v>
      </c>
      <c r="E249" s="5" t="s">
        <v>356</v>
      </c>
      <c r="F249" s="5" t="str" cm="1">
        <f t="array" ref="F249">_xlfn.IFS(J249&lt;750,$N$3,J249&lt;2000,$N$4,J249&lt;4000,$N$5,J249&gt;4000,$N$6)</f>
        <v>$750 - $2.000</v>
      </c>
      <c r="G249" s="6" t="s">
        <v>760</v>
      </c>
      <c r="H249" s="7" t="s">
        <v>15</v>
      </c>
      <c r="I249" s="8">
        <v>1116.68</v>
      </c>
      <c r="J249" s="9">
        <v>1840</v>
      </c>
      <c r="K249" s="9">
        <v>1656</v>
      </c>
      <c r="L249" s="10"/>
    </row>
    <row r="250" spans="1:12" ht="13" x14ac:dyDescent="0.3">
      <c r="A250" s="5" t="s">
        <v>10</v>
      </c>
      <c r="B250" s="5" t="s">
        <v>11</v>
      </c>
      <c r="C250" s="5" t="s">
        <v>23</v>
      </c>
      <c r="D250" s="5" t="s">
        <v>350</v>
      </c>
      <c r="E250" s="5" t="s">
        <v>359</v>
      </c>
      <c r="F250" s="5" t="str" cm="1">
        <f t="array" ref="F250">_xlfn.IFS(J250&lt;750,$N$3,J250&lt;2000,$N$4,J250&lt;4000,$N$5,J250&gt;4000,$N$6)</f>
        <v>$2.000 a $4.000</v>
      </c>
      <c r="G250" s="6" t="s">
        <v>360</v>
      </c>
      <c r="H250" s="7" t="s">
        <v>15</v>
      </c>
      <c r="I250" s="8">
        <v>1785.9718626827619</v>
      </c>
      <c r="J250" s="9">
        <v>2660</v>
      </c>
      <c r="K250" s="9">
        <v>2394</v>
      </c>
      <c r="L250" s="10"/>
    </row>
    <row r="251" spans="1:12" ht="13" x14ac:dyDescent="0.3">
      <c r="A251" s="5" t="s">
        <v>10</v>
      </c>
      <c r="B251" s="5" t="s">
        <v>354</v>
      </c>
      <c r="C251" s="5" t="s">
        <v>393</v>
      </c>
      <c r="D251" s="5" t="s">
        <v>350</v>
      </c>
      <c r="E251" s="5" t="s">
        <v>364</v>
      </c>
      <c r="F251" s="5" t="str" cm="1">
        <f t="array" ref="F251">_xlfn.IFS(J251&lt;750,$N$3,J251&lt;2000,$N$4,J251&lt;4000,$N$5,J251&gt;4000,$N$6)</f>
        <v>$750 - $2.000</v>
      </c>
      <c r="G251" s="6" t="s">
        <v>365</v>
      </c>
      <c r="H251" s="7" t="s">
        <v>15</v>
      </c>
      <c r="I251" s="8">
        <v>743.15</v>
      </c>
      <c r="J251" s="9">
        <v>1100</v>
      </c>
      <c r="K251" s="9">
        <v>990</v>
      </c>
      <c r="L251" s="10"/>
    </row>
    <row r="252" spans="1:12" ht="13" x14ac:dyDescent="0.3">
      <c r="A252" s="14" t="s">
        <v>10</v>
      </c>
      <c r="B252" s="5" t="s">
        <v>19</v>
      </c>
      <c r="C252" s="5" t="s">
        <v>20</v>
      </c>
      <c r="D252" s="5" t="s">
        <v>366</v>
      </c>
      <c r="E252" s="5" t="s">
        <v>366</v>
      </c>
      <c r="F252" s="5" t="str" cm="1">
        <f t="array" ref="F252">_xlfn.IFS(J252&lt;750,$N$3,J252&lt;2000,$N$4,J252&lt;4000,$N$5,J252&gt;4000,$N$6)</f>
        <v>$0 - $750</v>
      </c>
      <c r="G252" s="6" t="s">
        <v>367</v>
      </c>
      <c r="H252" s="7" t="s">
        <v>15</v>
      </c>
      <c r="I252" s="8">
        <v>290</v>
      </c>
      <c r="J252" s="9">
        <v>620</v>
      </c>
      <c r="K252" s="9">
        <v>558</v>
      </c>
      <c r="L252" s="10"/>
    </row>
    <row r="253" spans="1:12" ht="13" x14ac:dyDescent="0.3">
      <c r="A253" s="5" t="s">
        <v>10</v>
      </c>
      <c r="B253" s="5" t="s">
        <v>11</v>
      </c>
      <c r="C253" s="5" t="s">
        <v>17</v>
      </c>
      <c r="D253" s="5" t="s">
        <v>366</v>
      </c>
      <c r="E253" s="5" t="s">
        <v>366</v>
      </c>
      <c r="F253" s="5" t="str" cm="1">
        <f t="array" ref="F253">_xlfn.IFS(J253&lt;750,$N$3,J253&lt;2000,$N$4,J253&lt;4000,$N$5,J253&gt;4000,$N$6)</f>
        <v>$0 - $750</v>
      </c>
      <c r="G253" s="6" t="s">
        <v>368</v>
      </c>
      <c r="H253" s="7" t="s">
        <v>15</v>
      </c>
      <c r="I253" s="8">
        <v>346</v>
      </c>
      <c r="J253" s="9">
        <v>730</v>
      </c>
      <c r="K253" s="9">
        <v>657</v>
      </c>
      <c r="L253" s="10"/>
    </row>
    <row r="254" spans="1:12" ht="13" x14ac:dyDescent="0.3">
      <c r="A254" s="5" t="s">
        <v>10</v>
      </c>
      <c r="B254" s="5" t="s">
        <v>11</v>
      </c>
      <c r="C254" s="5" t="s">
        <v>24</v>
      </c>
      <c r="D254" s="5" t="s">
        <v>366</v>
      </c>
      <c r="E254" s="5" t="s">
        <v>366</v>
      </c>
      <c r="F254" s="5" t="str" cm="1">
        <f t="array" ref="F254">_xlfn.IFS(J254&lt;750,$N$3,J254&lt;2000,$N$4,J254&lt;4000,$N$5,J254&gt;4000,$N$6)</f>
        <v>$750 - $2.000</v>
      </c>
      <c r="G254" s="6" t="s">
        <v>369</v>
      </c>
      <c r="H254" s="7" t="s">
        <v>15</v>
      </c>
      <c r="I254" s="8">
        <v>378</v>
      </c>
      <c r="J254" s="9">
        <v>770</v>
      </c>
      <c r="K254" s="9">
        <v>693</v>
      </c>
      <c r="L254" s="10"/>
    </row>
    <row r="255" spans="1:12" ht="13" x14ac:dyDescent="0.3">
      <c r="A255" s="5" t="s">
        <v>10</v>
      </c>
      <c r="B255" s="5" t="s">
        <v>11</v>
      </c>
      <c r="C255" s="5" t="s">
        <v>23</v>
      </c>
      <c r="D255" s="5" t="s">
        <v>366</v>
      </c>
      <c r="E255" s="5" t="s">
        <v>366</v>
      </c>
      <c r="F255" s="5" t="str" cm="1">
        <f t="array" ref="F255">_xlfn.IFS(J255&lt;750,$N$3,J255&lt;2000,$N$4,J255&lt;4000,$N$5,J255&gt;4000,$N$6)</f>
        <v>$750 - $2.000</v>
      </c>
      <c r="G255" s="6" t="s">
        <v>370</v>
      </c>
      <c r="H255" s="7" t="s">
        <v>15</v>
      </c>
      <c r="I255" s="8">
        <v>378</v>
      </c>
      <c r="J255" s="9">
        <v>770</v>
      </c>
      <c r="K255" s="9">
        <v>693</v>
      </c>
      <c r="L255" s="10"/>
    </row>
    <row r="256" spans="1:12" ht="13" x14ac:dyDescent="0.3">
      <c r="A256" s="5" t="s">
        <v>10</v>
      </c>
      <c r="B256" s="5" t="s">
        <v>11</v>
      </c>
      <c r="C256" s="5" t="s">
        <v>37</v>
      </c>
      <c r="D256" s="5" t="s">
        <v>366</v>
      </c>
      <c r="E256" s="5" t="s">
        <v>366</v>
      </c>
      <c r="F256" s="5" t="str" cm="1">
        <f t="array" ref="F256">_xlfn.IFS(J256&lt;750,$N$3,J256&lt;2000,$N$4,J256&lt;4000,$N$5,J256&gt;4000,$N$6)</f>
        <v>$750 - $2.000</v>
      </c>
      <c r="G256" s="6" t="s">
        <v>371</v>
      </c>
      <c r="H256" s="7" t="s">
        <v>15</v>
      </c>
      <c r="I256" s="8">
        <v>476</v>
      </c>
      <c r="J256" s="9">
        <v>950</v>
      </c>
      <c r="K256" s="9">
        <v>855</v>
      </c>
      <c r="L256" s="10"/>
    </row>
    <row r="257" spans="1:12" ht="13" x14ac:dyDescent="0.3">
      <c r="A257" s="5" t="s">
        <v>10</v>
      </c>
      <c r="B257" s="5" t="s">
        <v>11</v>
      </c>
      <c r="C257" s="5" t="s">
        <v>17</v>
      </c>
      <c r="D257" s="5" t="s">
        <v>366</v>
      </c>
      <c r="E257" s="5" t="s">
        <v>366</v>
      </c>
      <c r="F257" s="5" t="str" cm="1">
        <f t="array" ref="F257">_xlfn.IFS(J257&lt;750,$N$3,J257&lt;2000,$N$4,J257&lt;4000,$N$5,J257&gt;4000,$N$6)</f>
        <v>$750 - $2.000</v>
      </c>
      <c r="G257" s="6" t="s">
        <v>372</v>
      </c>
      <c r="H257" s="7" t="s">
        <v>15</v>
      </c>
      <c r="I257" s="8">
        <v>476</v>
      </c>
      <c r="J257" s="9">
        <v>950</v>
      </c>
      <c r="K257" s="9">
        <v>855</v>
      </c>
      <c r="L257" s="10"/>
    </row>
    <row r="258" spans="1:12" ht="13" x14ac:dyDescent="0.3">
      <c r="A258" s="5" t="s">
        <v>10</v>
      </c>
      <c r="B258" s="5" t="s">
        <v>11</v>
      </c>
      <c r="C258" s="5" t="s">
        <v>23</v>
      </c>
      <c r="D258" s="5" t="s">
        <v>366</v>
      </c>
      <c r="E258" s="5" t="s">
        <v>366</v>
      </c>
      <c r="F258" s="5" t="str" cm="1">
        <f t="array" ref="F258">_xlfn.IFS(J258&lt;750,$N$3,J258&lt;2000,$N$4,J258&lt;4000,$N$5,J258&gt;4000,$N$6)</f>
        <v>$2.000 a $4.000</v>
      </c>
      <c r="G258" s="6" t="s">
        <v>700</v>
      </c>
      <c r="H258" s="7" t="s">
        <v>15</v>
      </c>
      <c r="I258" s="8">
        <v>1211</v>
      </c>
      <c r="J258" s="9">
        <v>2880</v>
      </c>
      <c r="K258" s="9">
        <v>2592</v>
      </c>
      <c r="L258" s="10"/>
    </row>
    <row r="259" spans="1:12" ht="13" x14ac:dyDescent="0.3">
      <c r="A259" s="5" t="s">
        <v>10</v>
      </c>
      <c r="B259" s="5" t="s">
        <v>354</v>
      </c>
      <c r="C259" s="5" t="s">
        <v>393</v>
      </c>
      <c r="D259" s="5" t="s">
        <v>366</v>
      </c>
      <c r="E259" s="5" t="s">
        <v>366</v>
      </c>
      <c r="F259" s="5" t="str" cm="1">
        <f t="array" ref="F259">_xlfn.IFS(J259&lt;750,$N$3,J259&lt;2000,$N$4,J259&lt;4000,$N$5,J259&gt;4000,$N$6)</f>
        <v>$750 - $2.000</v>
      </c>
      <c r="G259" s="6" t="s">
        <v>373</v>
      </c>
      <c r="H259" s="7" t="s">
        <v>15</v>
      </c>
      <c r="I259" s="8">
        <v>378</v>
      </c>
      <c r="J259" s="9">
        <v>770</v>
      </c>
      <c r="K259" s="9">
        <v>693</v>
      </c>
      <c r="L259" s="10"/>
    </row>
    <row r="260" spans="1:12" ht="13" x14ac:dyDescent="0.3">
      <c r="A260" s="5" t="s">
        <v>10</v>
      </c>
      <c r="B260" s="5" t="s">
        <v>354</v>
      </c>
      <c r="C260" s="5" t="s">
        <v>393</v>
      </c>
      <c r="D260" s="5" t="s">
        <v>274</v>
      </c>
      <c r="E260" s="5" t="s">
        <v>274</v>
      </c>
      <c r="F260" s="5" t="str" cm="1">
        <f t="array" ref="F260">_xlfn.IFS(J260&lt;750,$N$3,J260&lt;2000,$N$4,J260&lt;4000,$N$5,J260&gt;4000,$N$6)</f>
        <v>$750 - $2.000</v>
      </c>
      <c r="G260" s="26" t="s">
        <v>701</v>
      </c>
      <c r="H260" s="7" t="s">
        <v>15</v>
      </c>
      <c r="I260" s="8">
        <v>538.94909090909084</v>
      </c>
      <c r="J260" s="9">
        <v>880</v>
      </c>
      <c r="K260" s="9">
        <v>792</v>
      </c>
      <c r="L260" s="10"/>
    </row>
    <row r="261" spans="1:12" ht="13" x14ac:dyDescent="0.3">
      <c r="A261" s="5" t="s">
        <v>10</v>
      </c>
      <c r="B261" s="5" t="s">
        <v>354</v>
      </c>
      <c r="C261" s="5" t="s">
        <v>393</v>
      </c>
      <c r="D261" s="5" t="s">
        <v>228</v>
      </c>
      <c r="E261" s="5" t="s">
        <v>374</v>
      </c>
      <c r="F261" s="5" t="str" cm="1">
        <f t="array" ref="F261">_xlfn.IFS(J261&lt;750,$N$3,J261&lt;2000,$N$4,J261&lt;4000,$N$5,J261&gt;4000,$N$6)</f>
        <v>$0 - $750</v>
      </c>
      <c r="G261" s="4" t="s">
        <v>375</v>
      </c>
      <c r="H261" s="7" t="s">
        <v>15</v>
      </c>
      <c r="I261" s="8">
        <v>335.625</v>
      </c>
      <c r="J261" s="9">
        <v>560</v>
      </c>
      <c r="K261" s="9">
        <v>504</v>
      </c>
      <c r="L261" s="10"/>
    </row>
    <row r="262" spans="1:12" ht="13" x14ac:dyDescent="0.3">
      <c r="A262" s="5" t="s">
        <v>10</v>
      </c>
      <c r="B262" s="5" t="s">
        <v>354</v>
      </c>
      <c r="C262" s="5" t="s">
        <v>393</v>
      </c>
      <c r="D262" s="5" t="s">
        <v>82</v>
      </c>
      <c r="E262" s="5" t="s">
        <v>82</v>
      </c>
      <c r="F262" s="5" t="str" cm="1">
        <f t="array" ref="F262">_xlfn.IFS(J262&lt;750,$N$3,J262&lt;2000,$N$4,J262&lt;4000,$N$5,J262&gt;4000,$N$6)</f>
        <v>$750 - $2.000</v>
      </c>
      <c r="G262" s="4" t="s">
        <v>650</v>
      </c>
      <c r="H262" s="7" t="s">
        <v>15</v>
      </c>
      <c r="I262" s="8">
        <v>650</v>
      </c>
      <c r="J262" s="9">
        <v>950</v>
      </c>
      <c r="K262" s="9">
        <v>855</v>
      </c>
      <c r="L262" s="10"/>
    </row>
    <row r="263" spans="1:12" ht="13" x14ac:dyDescent="0.3">
      <c r="A263" s="5" t="s">
        <v>10</v>
      </c>
      <c r="B263" s="5" t="s">
        <v>354</v>
      </c>
      <c r="C263" s="5" t="s">
        <v>393</v>
      </c>
      <c r="D263" s="5" t="s">
        <v>82</v>
      </c>
      <c r="E263" s="5" t="s">
        <v>82</v>
      </c>
      <c r="F263" s="5" t="str" cm="1">
        <f t="array" ref="F263">_xlfn.IFS(J263&lt;750,$N$3,J263&lt;2000,$N$4,J263&lt;4000,$N$5,J263&gt;4000,$N$6)</f>
        <v>$750 - $2.000</v>
      </c>
      <c r="G263" s="4" t="s">
        <v>651</v>
      </c>
      <c r="H263" s="7" t="s">
        <v>15</v>
      </c>
      <c r="I263" s="8">
        <v>650</v>
      </c>
      <c r="J263" s="9">
        <v>950</v>
      </c>
      <c r="K263" s="9">
        <v>855</v>
      </c>
      <c r="L263" s="10"/>
    </row>
    <row r="264" spans="1:12" ht="13" x14ac:dyDescent="0.3">
      <c r="A264" s="5" t="s">
        <v>10</v>
      </c>
      <c r="B264" s="5" t="s">
        <v>354</v>
      </c>
      <c r="C264" s="5" t="s">
        <v>393</v>
      </c>
      <c r="D264" s="5" t="s">
        <v>82</v>
      </c>
      <c r="E264" s="5" t="s">
        <v>82</v>
      </c>
      <c r="F264" s="5" t="str" cm="1">
        <f t="array" ref="F264">_xlfn.IFS(J264&lt;750,$N$3,J264&lt;2000,$N$4,J264&lt;4000,$N$5,J264&gt;4000,$N$6)</f>
        <v>$750 - $2.000</v>
      </c>
      <c r="G264" s="4" t="s">
        <v>652</v>
      </c>
      <c r="H264" s="7" t="s">
        <v>15</v>
      </c>
      <c r="I264" s="8">
        <v>650</v>
      </c>
      <c r="J264" s="9">
        <v>950</v>
      </c>
      <c r="K264" s="9">
        <v>855</v>
      </c>
      <c r="L264" s="10"/>
    </row>
    <row r="265" spans="1:12" ht="13" x14ac:dyDescent="0.3">
      <c r="A265" s="5" t="s">
        <v>10</v>
      </c>
      <c r="B265" s="5" t="s">
        <v>354</v>
      </c>
      <c r="C265" s="5" t="s">
        <v>393</v>
      </c>
      <c r="D265" s="5" t="s">
        <v>82</v>
      </c>
      <c r="E265" s="5" t="s">
        <v>82</v>
      </c>
      <c r="F265" s="5" t="str" cm="1">
        <f t="array" ref="F265">_xlfn.IFS(J265&lt;750,$N$3,J265&lt;2000,$N$4,J265&lt;4000,$N$5,J265&gt;4000,$N$6)</f>
        <v>$750 - $2.000</v>
      </c>
      <c r="G265" s="4" t="s">
        <v>653</v>
      </c>
      <c r="H265" s="7" t="s">
        <v>15</v>
      </c>
      <c r="I265" s="8">
        <v>650</v>
      </c>
      <c r="J265" s="9">
        <v>950</v>
      </c>
      <c r="K265" s="9">
        <v>855</v>
      </c>
      <c r="L265" s="10"/>
    </row>
    <row r="266" spans="1:12" ht="13" x14ac:dyDescent="0.3">
      <c r="A266" s="5" t="s">
        <v>10</v>
      </c>
      <c r="B266" s="5" t="s">
        <v>354</v>
      </c>
      <c r="C266" s="5" t="s">
        <v>393</v>
      </c>
      <c r="D266" s="5" t="s">
        <v>82</v>
      </c>
      <c r="E266" s="5" t="s">
        <v>82</v>
      </c>
      <c r="F266" s="5" t="str" cm="1">
        <f t="array" ref="F266">_xlfn.IFS(J266&lt;750,$N$3,J266&lt;2000,$N$4,J266&lt;4000,$N$5,J266&gt;4000,$N$6)</f>
        <v>$750 - $2.000</v>
      </c>
      <c r="G266" s="4" t="s">
        <v>654</v>
      </c>
      <c r="H266" s="7" t="s">
        <v>15</v>
      </c>
      <c r="I266" s="8">
        <v>650</v>
      </c>
      <c r="J266" s="9">
        <v>950</v>
      </c>
      <c r="K266" s="9">
        <v>855</v>
      </c>
      <c r="L266" s="10"/>
    </row>
    <row r="267" spans="1:12" ht="13" x14ac:dyDescent="0.3">
      <c r="A267" s="5" t="s">
        <v>10</v>
      </c>
      <c r="B267" s="5" t="s">
        <v>354</v>
      </c>
      <c r="C267" s="5" t="s">
        <v>393</v>
      </c>
      <c r="D267" s="5" t="s">
        <v>82</v>
      </c>
      <c r="E267" s="5" t="s">
        <v>82</v>
      </c>
      <c r="F267" s="5" t="str" cm="1">
        <f t="array" ref="F267">_xlfn.IFS(J267&lt;750,$N$3,J267&lt;2000,$N$4,J267&lt;4000,$N$5,J267&gt;4000,$N$6)</f>
        <v>$750 - $2.000</v>
      </c>
      <c r="G267" s="4" t="s">
        <v>655</v>
      </c>
      <c r="H267" s="7" t="s">
        <v>15</v>
      </c>
      <c r="I267" s="8">
        <v>746</v>
      </c>
      <c r="J267" s="9">
        <v>1100</v>
      </c>
      <c r="K267" s="9">
        <v>990</v>
      </c>
      <c r="L267" s="10"/>
    </row>
    <row r="268" spans="1:12" ht="13" x14ac:dyDescent="0.3">
      <c r="A268" s="5" t="s">
        <v>10</v>
      </c>
      <c r="B268" s="5" t="s">
        <v>354</v>
      </c>
      <c r="C268" s="5" t="s">
        <v>393</v>
      </c>
      <c r="D268" s="5" t="s">
        <v>82</v>
      </c>
      <c r="E268" s="5" t="s">
        <v>376</v>
      </c>
      <c r="F268" s="5" t="str" cm="1">
        <f t="array" ref="F268">_xlfn.IFS(J268&lt;750,$N$3,J268&lt;2000,$N$4,J268&lt;4000,$N$5,J268&gt;4000,$N$6)</f>
        <v>$2.000 a $4.000</v>
      </c>
      <c r="G268" s="4" t="s">
        <v>656</v>
      </c>
      <c r="H268" s="7" t="s">
        <v>15</v>
      </c>
      <c r="I268" s="8">
        <v>1465</v>
      </c>
      <c r="J268" s="9">
        <v>2100</v>
      </c>
      <c r="K268" s="9">
        <v>1890</v>
      </c>
      <c r="L268" s="10"/>
    </row>
    <row r="269" spans="1:12" ht="13" x14ac:dyDescent="0.3">
      <c r="A269" s="5" t="s">
        <v>10</v>
      </c>
      <c r="B269" s="5" t="s">
        <v>354</v>
      </c>
      <c r="C269" s="5" t="s">
        <v>393</v>
      </c>
      <c r="D269" s="5" t="s">
        <v>82</v>
      </c>
      <c r="E269" s="5" t="s">
        <v>376</v>
      </c>
      <c r="F269" s="5" t="str" cm="1">
        <f t="array" ref="F269">_xlfn.IFS(J269&lt;750,$N$3,J269&lt;2000,$N$4,J269&lt;4000,$N$5,J269&gt;4000,$N$6)</f>
        <v>$2.000 a $4.000</v>
      </c>
      <c r="G269" s="4" t="s">
        <v>657</v>
      </c>
      <c r="H269" s="7" t="s">
        <v>15</v>
      </c>
      <c r="I269" s="8">
        <v>1890</v>
      </c>
      <c r="J269" s="9">
        <v>2770</v>
      </c>
      <c r="K269" s="9">
        <v>2493</v>
      </c>
      <c r="L269" s="10"/>
    </row>
    <row r="270" spans="1:12" ht="13" x14ac:dyDescent="0.3">
      <c r="A270" s="5" t="s">
        <v>10</v>
      </c>
      <c r="B270" s="5" t="s">
        <v>354</v>
      </c>
      <c r="C270" s="5" t="s">
        <v>393</v>
      </c>
      <c r="D270" s="5" t="s">
        <v>82</v>
      </c>
      <c r="E270" s="5" t="s">
        <v>376</v>
      </c>
      <c r="F270" s="5" t="str" cm="1">
        <f t="array" ref="F270">_xlfn.IFS(J270&lt;750,$N$3,J270&lt;2000,$N$4,J270&lt;4000,$N$5,J270&gt;4000,$N$6)</f>
        <v>$2.000 a $4.000</v>
      </c>
      <c r="G270" s="4" t="s">
        <v>658</v>
      </c>
      <c r="H270" s="7" t="s">
        <v>15</v>
      </c>
      <c r="I270" s="8">
        <v>1890</v>
      </c>
      <c r="J270" s="9">
        <v>2770</v>
      </c>
      <c r="K270" s="9">
        <v>2493</v>
      </c>
      <c r="L270" s="10"/>
    </row>
    <row r="271" spans="1:12" ht="13" x14ac:dyDescent="0.3">
      <c r="A271" s="5" t="s">
        <v>10</v>
      </c>
      <c r="B271" s="5" t="s">
        <v>354</v>
      </c>
      <c r="C271" s="5" t="s">
        <v>393</v>
      </c>
      <c r="D271" s="5" t="s">
        <v>377</v>
      </c>
      <c r="E271" s="5" t="s">
        <v>377</v>
      </c>
      <c r="F271" s="5" t="str" cm="1">
        <f t="array" ref="F271">_xlfn.IFS(J271&lt;750,$N$3,J271&lt;2000,$N$4,J271&lt;4000,$N$5,J271&gt;4000,$N$6)</f>
        <v>$2.000 a $4.000</v>
      </c>
      <c r="G271" s="4" t="s">
        <v>378</v>
      </c>
      <c r="H271" s="7" t="s">
        <v>15</v>
      </c>
      <c r="I271" s="8">
        <v>1484.8</v>
      </c>
      <c r="J271" s="9">
        <v>2220</v>
      </c>
      <c r="K271" s="9">
        <v>1998</v>
      </c>
      <c r="L271" s="10"/>
    </row>
    <row r="272" spans="1:12" ht="13" x14ac:dyDescent="0.3">
      <c r="A272" s="5" t="s">
        <v>10</v>
      </c>
      <c r="B272" s="5" t="s">
        <v>354</v>
      </c>
      <c r="C272" s="5" t="s">
        <v>393</v>
      </c>
      <c r="D272" s="5" t="s">
        <v>377</v>
      </c>
      <c r="E272" s="5" t="s">
        <v>377</v>
      </c>
      <c r="F272" s="5" t="str" cm="1">
        <f t="array" ref="F272">_xlfn.IFS(J272&lt;750,$N$3,J272&lt;2000,$N$4,J272&lt;4000,$N$5,J272&gt;4000,$N$6)</f>
        <v>$2.000 a $4.000</v>
      </c>
      <c r="G272" s="4" t="s">
        <v>379</v>
      </c>
      <c r="H272" s="7" t="s">
        <v>15</v>
      </c>
      <c r="I272" s="8">
        <v>1624</v>
      </c>
      <c r="J272" s="9">
        <v>2440</v>
      </c>
      <c r="K272" s="9">
        <v>2196</v>
      </c>
      <c r="L272" s="10"/>
    </row>
    <row r="273" spans="1:12" ht="13" x14ac:dyDescent="0.3">
      <c r="A273" s="5" t="s">
        <v>10</v>
      </c>
      <c r="B273" s="5" t="s">
        <v>354</v>
      </c>
      <c r="C273" s="5" t="s">
        <v>393</v>
      </c>
      <c r="D273" s="5" t="s">
        <v>82</v>
      </c>
      <c r="E273" s="5" t="s">
        <v>380</v>
      </c>
      <c r="F273" s="5" t="str" cm="1">
        <f t="array" ref="F273">_xlfn.IFS(J273&lt;750,$N$3,J273&lt;2000,$N$4,J273&lt;4000,$N$5,J273&gt;4000,$N$6)</f>
        <v>$0 - $750</v>
      </c>
      <c r="G273" s="4" t="s">
        <v>381</v>
      </c>
      <c r="H273" s="7" t="s">
        <v>79</v>
      </c>
      <c r="I273" s="8">
        <v>22973.38</v>
      </c>
      <c r="J273" s="9">
        <v>0</v>
      </c>
      <c r="K273" s="9">
        <v>0</v>
      </c>
      <c r="L273" s="10"/>
    </row>
    <row r="274" spans="1:12" ht="13" x14ac:dyDescent="0.3">
      <c r="A274" s="5" t="s">
        <v>10</v>
      </c>
      <c r="B274" s="5" t="s">
        <v>354</v>
      </c>
      <c r="C274" s="5" t="s">
        <v>393</v>
      </c>
      <c r="D274" s="5" t="s">
        <v>732</v>
      </c>
      <c r="E274" s="5" t="s">
        <v>732</v>
      </c>
      <c r="F274" s="5" t="str" cm="1">
        <f t="array" ref="F274">_xlfn.IFS(J274&lt;750,$N$3,J274&lt;2000,$N$4,J274&lt;4000,$N$5,J274&gt;4000,$N$6)</f>
        <v>$4.000 en adelante</v>
      </c>
      <c r="G274" s="6" t="s">
        <v>702</v>
      </c>
      <c r="H274" s="7" t="s">
        <v>79</v>
      </c>
      <c r="I274" s="8">
        <v>6555</v>
      </c>
      <c r="J274" s="9">
        <v>9220</v>
      </c>
      <c r="K274" s="9">
        <v>8298</v>
      </c>
      <c r="L274" s="10"/>
    </row>
    <row r="275" spans="1:12" ht="13" x14ac:dyDescent="0.3">
      <c r="A275" s="5" t="s">
        <v>10</v>
      </c>
      <c r="B275" s="5" t="s">
        <v>354</v>
      </c>
      <c r="C275" s="5" t="s">
        <v>393</v>
      </c>
      <c r="D275" s="5" t="s">
        <v>732</v>
      </c>
      <c r="E275" s="5" t="s">
        <v>732</v>
      </c>
      <c r="F275" s="5" t="str" cm="1">
        <f t="array" ref="F275">_xlfn.IFS(J275&lt;750,$N$3,J275&lt;2000,$N$4,J275&lt;4000,$N$5,J275&gt;4000,$N$6)</f>
        <v>$4.000 en adelante</v>
      </c>
      <c r="G275" s="6" t="s">
        <v>703</v>
      </c>
      <c r="H275" s="7" t="s">
        <v>79</v>
      </c>
      <c r="I275" s="8">
        <v>7695</v>
      </c>
      <c r="J275" s="9">
        <v>11100</v>
      </c>
      <c r="K275" s="9">
        <v>9990</v>
      </c>
      <c r="L275" s="10"/>
    </row>
    <row r="276" spans="1:12" ht="13" x14ac:dyDescent="0.3">
      <c r="A276" s="5" t="s">
        <v>10</v>
      </c>
      <c r="B276" s="5" t="s">
        <v>354</v>
      </c>
      <c r="C276" s="5" t="s">
        <v>393</v>
      </c>
      <c r="D276" s="5" t="s">
        <v>82</v>
      </c>
      <c r="E276" s="5" t="s">
        <v>382</v>
      </c>
      <c r="F276" s="5" t="str" cm="1">
        <f t="array" ref="F276">_xlfn.IFS(J276&lt;750,$N$3,J276&lt;2000,$N$4,J276&lt;4000,$N$5,J276&gt;4000,$N$6)</f>
        <v>$0 - $750</v>
      </c>
      <c r="G276" s="6" t="s">
        <v>383</v>
      </c>
      <c r="H276" s="7" t="s">
        <v>79</v>
      </c>
      <c r="I276" s="8">
        <v>8000</v>
      </c>
      <c r="J276" s="9">
        <v>0</v>
      </c>
      <c r="K276" s="9">
        <v>0</v>
      </c>
      <c r="L276" s="10"/>
    </row>
    <row r="277" spans="1:12" ht="13" x14ac:dyDescent="0.3">
      <c r="A277" s="5" t="s">
        <v>10</v>
      </c>
      <c r="B277" s="5" t="s">
        <v>354</v>
      </c>
      <c r="C277" s="5" t="s">
        <v>393</v>
      </c>
      <c r="D277" s="5" t="s">
        <v>82</v>
      </c>
      <c r="E277" s="5" t="s">
        <v>382</v>
      </c>
      <c r="F277" s="5" t="str" cm="1">
        <f t="array" ref="F277">_xlfn.IFS(J277&lt;750,$N$3,J277&lt;2000,$N$4,J277&lt;4000,$N$5,J277&gt;4000,$N$6)</f>
        <v>$0 - $750</v>
      </c>
      <c r="G277" s="6" t="s">
        <v>384</v>
      </c>
      <c r="H277" s="7" t="s">
        <v>79</v>
      </c>
      <c r="I277" s="8">
        <v>7963</v>
      </c>
      <c r="J277" s="9">
        <v>0</v>
      </c>
      <c r="K277" s="9">
        <v>0</v>
      </c>
      <c r="L277" s="10"/>
    </row>
    <row r="278" spans="1:12" ht="13" x14ac:dyDescent="0.3">
      <c r="A278" s="5" t="s">
        <v>10</v>
      </c>
      <c r="B278" s="5" t="s">
        <v>354</v>
      </c>
      <c r="C278" s="5" t="s">
        <v>393</v>
      </c>
      <c r="D278" s="5" t="s">
        <v>82</v>
      </c>
      <c r="E278" s="5" t="s">
        <v>382</v>
      </c>
      <c r="F278" s="5" t="str" cm="1">
        <f t="array" ref="F278">_xlfn.IFS(J278&lt;750,$N$3,J278&lt;2000,$N$4,J278&lt;4000,$N$5,J278&gt;4000,$N$6)</f>
        <v>$0 - $750</v>
      </c>
      <c r="G278" s="6" t="s">
        <v>385</v>
      </c>
      <c r="H278" s="7" t="s">
        <v>79</v>
      </c>
      <c r="I278" s="8">
        <v>6756.2000000000007</v>
      </c>
      <c r="J278" s="9">
        <v>0</v>
      </c>
      <c r="K278" s="9">
        <v>0</v>
      </c>
      <c r="L278" s="10"/>
    </row>
    <row r="279" spans="1:12" ht="13" x14ac:dyDescent="0.3">
      <c r="A279" s="5" t="s">
        <v>10</v>
      </c>
      <c r="B279" s="5" t="s">
        <v>354</v>
      </c>
      <c r="C279" s="5" t="s">
        <v>393</v>
      </c>
      <c r="D279" s="5" t="s">
        <v>82</v>
      </c>
      <c r="E279" s="5" t="s">
        <v>382</v>
      </c>
      <c r="F279" s="5" t="str" cm="1">
        <f t="array" ref="F279">_xlfn.IFS(J279&lt;750,$N$3,J279&lt;2000,$N$4,J279&lt;4000,$N$5,J279&gt;4000,$N$6)</f>
        <v>$0 - $750</v>
      </c>
      <c r="G279" s="6" t="s">
        <v>386</v>
      </c>
      <c r="H279" s="7" t="s">
        <v>79</v>
      </c>
      <c r="I279" s="8">
        <v>6756.2000000000007</v>
      </c>
      <c r="J279" s="9">
        <v>0</v>
      </c>
      <c r="K279" s="9">
        <v>0</v>
      </c>
      <c r="L279" s="10"/>
    </row>
    <row r="280" spans="1:12" ht="13" x14ac:dyDescent="0.3">
      <c r="A280" s="5" t="s">
        <v>10</v>
      </c>
      <c r="B280" s="5" t="s">
        <v>354</v>
      </c>
      <c r="C280" s="5" t="s">
        <v>393</v>
      </c>
      <c r="D280" s="5" t="s">
        <v>82</v>
      </c>
      <c r="E280" s="5" t="s">
        <v>382</v>
      </c>
      <c r="F280" s="5" t="str" cm="1">
        <f t="array" ref="F280">_xlfn.IFS(J280&lt;750,$N$3,J280&lt;2000,$N$4,J280&lt;4000,$N$5,J280&gt;4000,$N$6)</f>
        <v>$0 - $750</v>
      </c>
      <c r="G280" s="6" t="s">
        <v>387</v>
      </c>
      <c r="H280" s="7" t="s">
        <v>79</v>
      </c>
      <c r="I280" s="8">
        <v>6756.2000000000007</v>
      </c>
      <c r="J280" s="9">
        <v>0</v>
      </c>
      <c r="K280" s="9">
        <v>0</v>
      </c>
      <c r="L280" s="10"/>
    </row>
    <row r="281" spans="1:12" ht="13" x14ac:dyDescent="0.3">
      <c r="A281" s="5" t="s">
        <v>10</v>
      </c>
      <c r="B281" s="5" t="s">
        <v>354</v>
      </c>
      <c r="C281" s="5" t="s">
        <v>393</v>
      </c>
      <c r="D281" s="5" t="s">
        <v>82</v>
      </c>
      <c r="E281" s="5" t="s">
        <v>388</v>
      </c>
      <c r="F281" s="5" t="str" cm="1">
        <f t="array" ref="F281">_xlfn.IFS(J281&lt;750,$N$3,J281&lt;2000,$N$4,J281&lt;4000,$N$5,J281&gt;4000,$N$6)</f>
        <v>$4.000 en adelante</v>
      </c>
      <c r="G281" s="6" t="s">
        <v>389</v>
      </c>
      <c r="H281" s="7" t="s">
        <v>79</v>
      </c>
      <c r="I281" s="8">
        <v>7500</v>
      </c>
      <c r="J281" s="9">
        <v>15550</v>
      </c>
      <c r="K281" s="9">
        <v>13995</v>
      </c>
      <c r="L281" s="10"/>
    </row>
    <row r="282" spans="1:12" ht="13" x14ac:dyDescent="0.3">
      <c r="A282" s="5" t="s">
        <v>10</v>
      </c>
      <c r="B282" s="5" t="s">
        <v>354</v>
      </c>
      <c r="C282" s="5" t="s">
        <v>393</v>
      </c>
      <c r="D282" s="5" t="s">
        <v>82</v>
      </c>
      <c r="E282" s="5" t="s">
        <v>388</v>
      </c>
      <c r="F282" s="5" t="str" cm="1">
        <f t="array" ref="F282">_xlfn.IFS(J282&lt;750,$N$3,J282&lt;2000,$N$4,J282&lt;4000,$N$5,J282&gt;4000,$N$6)</f>
        <v>$0 - $750</v>
      </c>
      <c r="G282" s="6" t="s">
        <v>390</v>
      </c>
      <c r="H282" s="7" t="s">
        <v>79</v>
      </c>
      <c r="I282" s="8">
        <v>6172.3670000000011</v>
      </c>
      <c r="J282" s="9">
        <v>0</v>
      </c>
      <c r="K282" s="9">
        <v>0</v>
      </c>
      <c r="L282" s="10"/>
    </row>
    <row r="283" spans="1:12" ht="13" x14ac:dyDescent="0.3">
      <c r="A283" s="5" t="s">
        <v>391</v>
      </c>
      <c r="B283" s="5" t="s">
        <v>392</v>
      </c>
      <c r="C283" s="5" t="s">
        <v>393</v>
      </c>
      <c r="D283" s="5" t="s">
        <v>393</v>
      </c>
      <c r="E283" s="5" t="s">
        <v>394</v>
      </c>
      <c r="F283" s="5" t="str" cm="1">
        <f t="array" ref="F283">_xlfn.IFS(J283&lt;3000,$P$3,J283&lt;5000,$P$4,J283&lt;10000,$P$5,J283&gt;10000,$P$6)</f>
        <v>$0 a $3.000</v>
      </c>
      <c r="G283" s="6" t="s">
        <v>395</v>
      </c>
      <c r="H283" s="7" t="s">
        <v>396</v>
      </c>
      <c r="I283" s="8">
        <v>1520.96</v>
      </c>
      <c r="J283" s="9">
        <v>2100</v>
      </c>
      <c r="K283" s="9">
        <v>1890</v>
      </c>
      <c r="L283" s="10"/>
    </row>
    <row r="284" spans="1:12" ht="13" x14ac:dyDescent="0.3">
      <c r="A284" s="5" t="s">
        <v>391</v>
      </c>
      <c r="B284" s="5" t="s">
        <v>392</v>
      </c>
      <c r="C284" s="5" t="s">
        <v>393</v>
      </c>
      <c r="D284" s="5" t="s">
        <v>393</v>
      </c>
      <c r="E284" s="5" t="s">
        <v>394</v>
      </c>
      <c r="F284" s="5" t="str" cm="1">
        <f t="array" ref="F284">_xlfn.IFS(J284&lt;3000,$P$3,J284&lt;5000,$P$4,J284&lt;10000,$P$5,J284&gt;10000,$P$6)</f>
        <v>$0 a $3.000</v>
      </c>
      <c r="G284" s="4" t="s">
        <v>397</v>
      </c>
      <c r="H284" s="7" t="s">
        <v>398</v>
      </c>
      <c r="I284" s="8">
        <v>1806.8</v>
      </c>
      <c r="J284" s="9">
        <v>2550</v>
      </c>
      <c r="K284" s="9">
        <v>2295</v>
      </c>
      <c r="L284" s="10"/>
    </row>
    <row r="285" spans="1:12" ht="13" x14ac:dyDescent="0.3">
      <c r="A285" s="5" t="s">
        <v>391</v>
      </c>
      <c r="B285" s="5" t="s">
        <v>392</v>
      </c>
      <c r="C285" s="5" t="s">
        <v>393</v>
      </c>
      <c r="D285" s="5" t="s">
        <v>393</v>
      </c>
      <c r="E285" s="5" t="s">
        <v>394</v>
      </c>
      <c r="F285" s="5" t="str" cm="1">
        <f t="array" ref="F285">_xlfn.IFS(J285&lt;3000,$P$3,J285&lt;5000,$P$4,J285&lt;10000,$P$5,J285&gt;10000,$P$6)</f>
        <v>$0 a $3.000</v>
      </c>
      <c r="G285" s="4" t="s">
        <v>399</v>
      </c>
      <c r="H285" s="7" t="s">
        <v>396</v>
      </c>
      <c r="I285" s="8">
        <v>1808.03</v>
      </c>
      <c r="J285" s="9">
        <v>2550</v>
      </c>
      <c r="K285" s="9">
        <v>2295</v>
      </c>
      <c r="L285" s="10"/>
    </row>
    <row r="286" spans="1:12" ht="13" x14ac:dyDescent="0.3">
      <c r="A286" s="5" t="s">
        <v>391</v>
      </c>
      <c r="B286" s="5" t="s">
        <v>392</v>
      </c>
      <c r="C286" s="5" t="s">
        <v>393</v>
      </c>
      <c r="D286" s="5" t="s">
        <v>393</v>
      </c>
      <c r="E286" s="5" t="s">
        <v>400</v>
      </c>
      <c r="F286" s="5" t="str" cm="1">
        <f t="array" ref="F286">_xlfn.IFS(J286&lt;3000,$P$3,J286&lt;5000,$P$4,J286&lt;10000,$P$5,J286&gt;10000,$P$6)</f>
        <v>$0 a $3.000</v>
      </c>
      <c r="G286" s="6" t="s">
        <v>400</v>
      </c>
      <c r="H286" s="7" t="s">
        <v>396</v>
      </c>
      <c r="I286" s="8">
        <v>1437.694</v>
      </c>
      <c r="J286" s="9">
        <v>2100</v>
      </c>
      <c r="K286" s="9">
        <v>1890</v>
      </c>
      <c r="L286" s="10"/>
    </row>
    <row r="287" spans="1:12" ht="13" x14ac:dyDescent="0.3">
      <c r="A287" s="5" t="s">
        <v>391</v>
      </c>
      <c r="B287" s="5" t="s">
        <v>392</v>
      </c>
      <c r="C287" s="5" t="s">
        <v>393</v>
      </c>
      <c r="D287" s="5" t="s">
        <v>393</v>
      </c>
      <c r="E287" s="5" t="s">
        <v>400</v>
      </c>
      <c r="F287" s="5" t="str" cm="1">
        <f t="array" ref="F287">_xlfn.IFS(J287&lt;3000,$P$3,J287&lt;5000,$P$4,J287&lt;10000,$P$5,J287&gt;10000,$P$6)</f>
        <v>$0 a $3.000</v>
      </c>
      <c r="G287" s="4" t="s">
        <v>401</v>
      </c>
      <c r="H287" s="7" t="s">
        <v>396</v>
      </c>
      <c r="I287" s="8">
        <v>1725.1695999999999</v>
      </c>
      <c r="J287" s="9">
        <v>2550</v>
      </c>
      <c r="K287" s="9">
        <v>2295</v>
      </c>
      <c r="L287" s="10"/>
    </row>
    <row r="288" spans="1:12" ht="13" x14ac:dyDescent="0.3">
      <c r="A288" s="5" t="s">
        <v>391</v>
      </c>
      <c r="B288" s="5" t="s">
        <v>392</v>
      </c>
      <c r="C288" s="5" t="s">
        <v>393</v>
      </c>
      <c r="D288" s="5" t="s">
        <v>393</v>
      </c>
      <c r="E288" s="5" t="s">
        <v>402</v>
      </c>
      <c r="F288" s="5" t="str" cm="1">
        <f t="array" ref="F288">_xlfn.IFS(J288&lt;3000,$P$3,J288&lt;5000,$P$4,J288&lt;10000,$P$5,J288&gt;10000,$P$6)</f>
        <v>$3.000 - $5.000</v>
      </c>
      <c r="G288" s="4" t="s">
        <v>403</v>
      </c>
      <c r="H288" s="7" t="s">
        <v>79</v>
      </c>
      <c r="I288" s="8">
        <v>2178.38</v>
      </c>
      <c r="J288" s="9">
        <v>3100</v>
      </c>
      <c r="K288" s="9">
        <v>2790</v>
      </c>
      <c r="L288" s="10"/>
    </row>
    <row r="289" spans="1:12" ht="13" x14ac:dyDescent="0.3">
      <c r="A289" s="5" t="s">
        <v>391</v>
      </c>
      <c r="B289" s="5" t="s">
        <v>392</v>
      </c>
      <c r="C289" s="5" t="s">
        <v>393</v>
      </c>
      <c r="D289" s="5" t="s">
        <v>393</v>
      </c>
      <c r="E289" s="6" t="s">
        <v>404</v>
      </c>
      <c r="F289" s="5" t="str" cm="1">
        <f t="array" ref="F289">_xlfn.IFS(J289&lt;3000,$P$3,J289&lt;5000,$P$4,J289&lt;10000,$P$5,J289&gt;10000,$P$6)</f>
        <v>$0 a $3.000</v>
      </c>
      <c r="G289" s="6" t="s">
        <v>404</v>
      </c>
      <c r="H289" s="7" t="s">
        <v>79</v>
      </c>
      <c r="I289" s="8">
        <v>1750</v>
      </c>
      <c r="J289" s="9">
        <v>2550</v>
      </c>
      <c r="K289" s="9">
        <v>2295</v>
      </c>
      <c r="L289" s="10"/>
    </row>
    <row r="290" spans="1:12" ht="13" x14ac:dyDescent="0.3">
      <c r="A290" s="5" t="s">
        <v>391</v>
      </c>
      <c r="B290" s="5" t="s">
        <v>392</v>
      </c>
      <c r="C290" s="5" t="s">
        <v>393</v>
      </c>
      <c r="D290" s="5" t="s">
        <v>393</v>
      </c>
      <c r="E290" s="5" t="s">
        <v>405</v>
      </c>
      <c r="F290" s="5" t="str" cm="1">
        <f t="array" ref="F290">_xlfn.IFS(J290&lt;3000,$P$3,J290&lt;5000,$P$4,J290&lt;10000,$P$5,J290&gt;10000,$P$6)</f>
        <v>$3.000 - $5.000</v>
      </c>
      <c r="G290" s="4" t="s">
        <v>406</v>
      </c>
      <c r="H290" s="7" t="s">
        <v>396</v>
      </c>
      <c r="I290" s="8">
        <v>2886.0000000000005</v>
      </c>
      <c r="J290" s="9">
        <v>4990</v>
      </c>
      <c r="K290" s="9">
        <v>4491</v>
      </c>
      <c r="L290" s="10"/>
    </row>
    <row r="291" spans="1:12" ht="13" x14ac:dyDescent="0.3">
      <c r="A291" s="5" t="s">
        <v>391</v>
      </c>
      <c r="B291" s="5" t="s">
        <v>392</v>
      </c>
      <c r="C291" s="5" t="s">
        <v>393</v>
      </c>
      <c r="D291" s="5" t="s">
        <v>393</v>
      </c>
      <c r="E291" s="5" t="s">
        <v>407</v>
      </c>
      <c r="F291" s="5" t="str" cm="1">
        <f t="array" ref="F291">_xlfn.IFS(J291&lt;3000,$P$3,J291&lt;5000,$P$4,J291&lt;10000,$P$5,J291&gt;10000,$P$6)</f>
        <v>$5.000 - $10.000</v>
      </c>
      <c r="G291" s="4" t="s">
        <v>408</v>
      </c>
      <c r="H291" s="7" t="s">
        <v>396</v>
      </c>
      <c r="I291" s="8">
        <v>4275.45</v>
      </c>
      <c r="J291" s="9">
        <v>5990</v>
      </c>
      <c r="K291" s="9">
        <v>5391</v>
      </c>
      <c r="L291" s="10"/>
    </row>
    <row r="292" spans="1:12" ht="13" x14ac:dyDescent="0.3">
      <c r="A292" s="5" t="s">
        <v>391</v>
      </c>
      <c r="B292" s="5" t="s">
        <v>392</v>
      </c>
      <c r="C292" s="5" t="s">
        <v>393</v>
      </c>
      <c r="D292" s="5" t="s">
        <v>393</v>
      </c>
      <c r="E292" s="5" t="s">
        <v>409</v>
      </c>
      <c r="F292" s="5" t="str" cm="1">
        <f t="array" ref="F292">_xlfn.IFS(J292&lt;3000,$P$3,J292&lt;5000,$P$4,J292&lt;10000,$P$5,J292&gt;10000,$P$6)</f>
        <v>$5.000 - $10.000</v>
      </c>
      <c r="G292" s="6" t="s">
        <v>410</v>
      </c>
      <c r="H292" s="7" t="s">
        <v>411</v>
      </c>
      <c r="I292" s="8">
        <v>5204</v>
      </c>
      <c r="J292" s="9">
        <v>7440</v>
      </c>
      <c r="K292" s="9">
        <v>6696</v>
      </c>
      <c r="L292" s="10"/>
    </row>
    <row r="293" spans="1:12" ht="13" x14ac:dyDescent="0.3">
      <c r="A293" s="5" t="s">
        <v>391</v>
      </c>
      <c r="B293" s="5" t="s">
        <v>392</v>
      </c>
      <c r="C293" s="5" t="s">
        <v>393</v>
      </c>
      <c r="D293" s="5" t="s">
        <v>393</v>
      </c>
      <c r="E293" s="5" t="s">
        <v>412</v>
      </c>
      <c r="F293" s="5" t="str" cm="1">
        <f t="array" ref="F293">_xlfn.IFS(J293&lt;3000,$P$3,J293&lt;5000,$P$4,J293&lt;10000,$P$5,J293&gt;10000,$P$6)</f>
        <v>$5.000 - $10.000</v>
      </c>
      <c r="G293" s="4" t="s">
        <v>412</v>
      </c>
      <c r="H293" s="7" t="s">
        <v>396</v>
      </c>
      <c r="I293" s="8">
        <v>6048.39</v>
      </c>
      <c r="J293" s="9">
        <v>8880</v>
      </c>
      <c r="K293" s="9">
        <v>7992</v>
      </c>
      <c r="L293" s="10"/>
    </row>
    <row r="294" spans="1:12" ht="13" x14ac:dyDescent="0.3">
      <c r="A294" s="5" t="s">
        <v>391</v>
      </c>
      <c r="B294" s="5" t="s">
        <v>392</v>
      </c>
      <c r="C294" s="5" t="s">
        <v>393</v>
      </c>
      <c r="D294" s="5" t="s">
        <v>393</v>
      </c>
      <c r="E294" s="5" t="s">
        <v>412</v>
      </c>
      <c r="F294" s="5" t="str" cm="1">
        <f t="array" ref="F294">_xlfn.IFS(J294&lt;3000,$P$3,J294&lt;5000,$P$4,J294&lt;10000,$P$5,J294&gt;10000,$P$6)</f>
        <v>$10.000 en adelante</v>
      </c>
      <c r="G294" s="6" t="s">
        <v>413</v>
      </c>
      <c r="H294" s="7" t="s">
        <v>396</v>
      </c>
      <c r="I294" s="8">
        <v>6750</v>
      </c>
      <c r="J294" s="9">
        <v>10550</v>
      </c>
      <c r="K294" s="9">
        <v>9495</v>
      </c>
      <c r="L294" s="10"/>
    </row>
    <row r="295" spans="1:12" ht="13" x14ac:dyDescent="0.3">
      <c r="A295" s="5" t="s">
        <v>391</v>
      </c>
      <c r="B295" s="5" t="s">
        <v>414</v>
      </c>
      <c r="C295" s="5" t="s">
        <v>393</v>
      </c>
      <c r="D295" s="5" t="s">
        <v>393</v>
      </c>
      <c r="E295" s="5" t="s">
        <v>415</v>
      </c>
      <c r="F295" s="5" t="str" cm="1">
        <f t="array" ref="F295">_xlfn.IFS(J295&lt;3000,$P$3,J295&lt;5000,$P$4,J295&lt;10000,$P$5,J295&gt;10000,$P$6)</f>
        <v>$0 a $3.000</v>
      </c>
      <c r="G295" s="6" t="s">
        <v>416</v>
      </c>
      <c r="H295" s="7" t="s">
        <v>79</v>
      </c>
      <c r="I295" s="8">
        <v>1289.22</v>
      </c>
      <c r="J295" s="9">
        <v>1840</v>
      </c>
      <c r="K295" s="9">
        <v>1656</v>
      </c>
      <c r="L295" s="10"/>
    </row>
    <row r="296" spans="1:12" ht="13" x14ac:dyDescent="0.3">
      <c r="A296" s="5" t="s">
        <v>391</v>
      </c>
      <c r="B296" s="5" t="s">
        <v>414</v>
      </c>
      <c r="C296" s="5" t="s">
        <v>393</v>
      </c>
      <c r="D296" s="5" t="s">
        <v>393</v>
      </c>
      <c r="E296" s="5" t="s">
        <v>415</v>
      </c>
      <c r="F296" s="5" t="str" cm="1">
        <f t="array" ref="F296">_xlfn.IFS(J296&lt;3000,$P$3,J296&lt;5000,$P$4,J296&lt;10000,$P$5,J296&gt;10000,$P$6)</f>
        <v>$0 a $3.000</v>
      </c>
      <c r="G296" s="6" t="s">
        <v>417</v>
      </c>
      <c r="H296" s="7" t="s">
        <v>79</v>
      </c>
      <c r="I296" s="8">
        <v>1345.043226</v>
      </c>
      <c r="J296" s="9">
        <v>1890</v>
      </c>
      <c r="K296" s="9">
        <v>1701</v>
      </c>
      <c r="L296" s="10"/>
    </row>
    <row r="297" spans="1:12" ht="13" x14ac:dyDescent="0.3">
      <c r="A297" s="5" t="s">
        <v>391</v>
      </c>
      <c r="B297" s="5" t="s">
        <v>414</v>
      </c>
      <c r="C297" s="5" t="s">
        <v>393</v>
      </c>
      <c r="D297" s="5" t="s">
        <v>393</v>
      </c>
      <c r="E297" s="5" t="s">
        <v>418</v>
      </c>
      <c r="F297" s="5" t="str" cm="1">
        <f t="array" ref="F297">_xlfn.IFS(J297&lt;3000,$P$3,J297&lt;5000,$P$4,J297&lt;10000,$P$5,J297&gt;10000,$P$6)</f>
        <v>$0 a $3.000</v>
      </c>
      <c r="G297" s="4" t="s">
        <v>419</v>
      </c>
      <c r="H297" s="7" t="s">
        <v>79</v>
      </c>
      <c r="I297" s="8">
        <v>1730</v>
      </c>
      <c r="J297" s="9">
        <v>2770</v>
      </c>
      <c r="K297" s="9">
        <v>2493</v>
      </c>
      <c r="L297" s="10"/>
    </row>
    <row r="298" spans="1:12" ht="13" x14ac:dyDescent="0.3">
      <c r="A298" s="5" t="s">
        <v>391</v>
      </c>
      <c r="B298" s="5" t="s">
        <v>414</v>
      </c>
      <c r="C298" s="5" t="s">
        <v>393</v>
      </c>
      <c r="D298" s="5" t="s">
        <v>393</v>
      </c>
      <c r="E298" s="4" t="s">
        <v>420</v>
      </c>
      <c r="F298" s="5" t="str" cm="1">
        <f t="array" ref="F298">_xlfn.IFS(J298&lt;3000,$P$3,J298&lt;5000,$P$4,J298&lt;10000,$P$5,J298&gt;10000,$P$6)</f>
        <v>$0 a $3.000</v>
      </c>
      <c r="G298" s="4" t="s">
        <v>421</v>
      </c>
      <c r="H298" s="7" t="s">
        <v>396</v>
      </c>
      <c r="I298" s="8">
        <v>1690</v>
      </c>
      <c r="J298" s="9">
        <v>2440</v>
      </c>
      <c r="K298" s="9">
        <v>2196</v>
      </c>
      <c r="L298" s="10"/>
    </row>
    <row r="299" spans="1:12" ht="13" x14ac:dyDescent="0.3">
      <c r="A299" s="5" t="s">
        <v>391</v>
      </c>
      <c r="B299" s="5" t="s">
        <v>414</v>
      </c>
      <c r="C299" s="5" t="s">
        <v>393</v>
      </c>
      <c r="D299" s="5" t="s">
        <v>393</v>
      </c>
      <c r="E299" s="6" t="s">
        <v>422</v>
      </c>
      <c r="F299" s="5" t="str" cm="1">
        <f t="array" ref="F299">_xlfn.IFS(J299&lt;3000,$P$3,J299&lt;5000,$P$4,J299&lt;10000,$P$5,J299&gt;10000,$P$6)</f>
        <v>$0 a $3.000</v>
      </c>
      <c r="G299" s="6" t="s">
        <v>422</v>
      </c>
      <c r="H299" s="7" t="s">
        <v>79</v>
      </c>
      <c r="I299" s="8">
        <v>1740.45</v>
      </c>
      <c r="J299" s="9">
        <v>2880</v>
      </c>
      <c r="K299" s="9">
        <v>2592</v>
      </c>
      <c r="L299" s="10"/>
    </row>
    <row r="300" spans="1:12" ht="13" x14ac:dyDescent="0.3">
      <c r="A300" s="5" t="s">
        <v>391</v>
      </c>
      <c r="B300" s="5" t="s">
        <v>423</v>
      </c>
      <c r="C300" s="5" t="s">
        <v>393</v>
      </c>
      <c r="D300" s="5" t="s">
        <v>393</v>
      </c>
      <c r="E300" s="5" t="s">
        <v>424</v>
      </c>
      <c r="F300" s="5" t="str" cm="1">
        <f t="array" ref="F300">_xlfn.IFS(J300&lt;3000,$P$3,J300&lt;5000,$P$4,J300&lt;10000,$P$5,J300&gt;10000,$P$6)</f>
        <v>$0 a $3.000</v>
      </c>
      <c r="G300" s="6" t="s">
        <v>425</v>
      </c>
      <c r="H300" s="7" t="s">
        <v>79</v>
      </c>
      <c r="I300" s="8">
        <v>1809.36</v>
      </c>
      <c r="J300" s="9">
        <v>2550</v>
      </c>
      <c r="K300" s="9">
        <v>2295</v>
      </c>
      <c r="L300" s="10"/>
    </row>
    <row r="301" spans="1:12" ht="13" x14ac:dyDescent="0.3">
      <c r="A301" s="5" t="s">
        <v>391</v>
      </c>
      <c r="B301" s="5" t="s">
        <v>423</v>
      </c>
      <c r="C301" s="5" t="s">
        <v>393</v>
      </c>
      <c r="D301" s="5" t="s">
        <v>393</v>
      </c>
      <c r="E301" s="5" t="s">
        <v>424</v>
      </c>
      <c r="F301" s="5" t="str" cm="1">
        <f t="array" ref="F301">_xlfn.IFS(J301&lt;3000,$P$3,J301&lt;5000,$P$4,J301&lt;10000,$P$5,J301&gt;10000,$P$6)</f>
        <v>$5.000 - $10.000</v>
      </c>
      <c r="G301" s="4" t="s">
        <v>426</v>
      </c>
      <c r="H301" s="7" t="s">
        <v>79</v>
      </c>
      <c r="I301" s="8">
        <v>6605.29</v>
      </c>
      <c r="J301" s="9">
        <v>9220</v>
      </c>
      <c r="K301" s="9">
        <v>8298</v>
      </c>
      <c r="L301" s="10"/>
    </row>
    <row r="302" spans="1:12" ht="13" x14ac:dyDescent="0.3">
      <c r="A302" s="5" t="s">
        <v>391</v>
      </c>
      <c r="B302" s="5" t="s">
        <v>423</v>
      </c>
      <c r="C302" s="5" t="s">
        <v>393</v>
      </c>
      <c r="D302" s="5" t="s">
        <v>393</v>
      </c>
      <c r="E302" s="5" t="s">
        <v>427</v>
      </c>
      <c r="F302" s="5" t="str" cm="1">
        <f t="array" ref="F302">_xlfn.IFS(J302&lt;3000,$P$3,J302&lt;5000,$P$4,J302&lt;10000,$P$5,J302&gt;10000,$P$6)</f>
        <v>$3.000 - $5.000</v>
      </c>
      <c r="G302" s="4" t="s">
        <v>428</v>
      </c>
      <c r="H302" s="7" t="s">
        <v>79</v>
      </c>
      <c r="I302" s="8">
        <v>2169.3200000000002</v>
      </c>
      <c r="J302" s="9">
        <v>3660</v>
      </c>
      <c r="K302" s="9">
        <v>3294</v>
      </c>
      <c r="L302" s="10"/>
    </row>
    <row r="303" spans="1:12" ht="13" x14ac:dyDescent="0.3">
      <c r="A303" s="5" t="s">
        <v>391</v>
      </c>
      <c r="B303" s="5" t="s">
        <v>423</v>
      </c>
      <c r="C303" s="5" t="s">
        <v>393</v>
      </c>
      <c r="D303" s="5" t="s">
        <v>393</v>
      </c>
      <c r="E303" s="5" t="s">
        <v>427</v>
      </c>
      <c r="F303" s="5" t="str" cm="1">
        <f t="array" ref="F303">_xlfn.IFS(J303&lt;3000,$P$3,J303&lt;5000,$P$4,J303&lt;10000,$P$5,J303&gt;10000,$P$6)</f>
        <v>$5.000 - $10.000</v>
      </c>
      <c r="G303" s="6" t="s">
        <v>429</v>
      </c>
      <c r="H303" s="7" t="s">
        <v>79</v>
      </c>
      <c r="I303" s="8">
        <v>4574.6360000000004</v>
      </c>
      <c r="J303" s="9">
        <v>6990</v>
      </c>
      <c r="K303" s="9">
        <v>6291</v>
      </c>
      <c r="L303" s="10"/>
    </row>
    <row r="304" spans="1:12" ht="13" x14ac:dyDescent="0.3">
      <c r="A304" s="5" t="s">
        <v>391</v>
      </c>
      <c r="B304" s="5" t="s">
        <v>423</v>
      </c>
      <c r="C304" s="5" t="s">
        <v>393</v>
      </c>
      <c r="D304" s="5" t="s">
        <v>393</v>
      </c>
      <c r="E304" s="5" t="s">
        <v>427</v>
      </c>
      <c r="F304" s="5" t="str" cm="1">
        <f t="array" ref="F304">_xlfn.IFS(J304&lt;3000,$P$3,J304&lt;5000,$P$4,J304&lt;10000,$P$5,J304&gt;10000,$P$6)</f>
        <v>$10.000 en adelante</v>
      </c>
      <c r="G304" s="4" t="s">
        <v>430</v>
      </c>
      <c r="H304" s="7" t="s">
        <v>79</v>
      </c>
      <c r="I304" s="8">
        <v>8777.1889999999985</v>
      </c>
      <c r="J304" s="9">
        <v>13330</v>
      </c>
      <c r="K304" s="9">
        <v>11997</v>
      </c>
      <c r="L304" s="10"/>
    </row>
    <row r="305" spans="1:12" ht="13" x14ac:dyDescent="0.3">
      <c r="A305" s="5" t="s">
        <v>391</v>
      </c>
      <c r="B305" s="5" t="s">
        <v>431</v>
      </c>
      <c r="C305" s="5" t="s">
        <v>393</v>
      </c>
      <c r="D305" s="5" t="s">
        <v>393</v>
      </c>
      <c r="E305" s="5" t="s">
        <v>432</v>
      </c>
      <c r="F305" s="5" t="str" cm="1">
        <f t="array" ref="F305">_xlfn.IFS(J305&lt;3000,$P$3,J305&lt;5000,$P$4,J305&lt;10000,$P$5,J305&gt;10000,$P$6)</f>
        <v>$10.000 en adelante</v>
      </c>
      <c r="G305" s="6" t="s">
        <v>433</v>
      </c>
      <c r="H305" s="7" t="s">
        <v>79</v>
      </c>
      <c r="I305" s="8">
        <v>3249.4285</v>
      </c>
      <c r="J305" s="9">
        <v>15550</v>
      </c>
      <c r="K305" s="9">
        <v>13995</v>
      </c>
      <c r="L305" s="10"/>
    </row>
    <row r="306" spans="1:12" ht="13" x14ac:dyDescent="0.3">
      <c r="A306" s="5" t="s">
        <v>391</v>
      </c>
      <c r="B306" s="5" t="s">
        <v>431</v>
      </c>
      <c r="C306" s="5" t="s">
        <v>393</v>
      </c>
      <c r="D306" s="5" t="s">
        <v>393</v>
      </c>
      <c r="E306" s="5" t="s">
        <v>432</v>
      </c>
      <c r="F306" s="5" t="str" cm="1">
        <f t="array" ref="F306">_xlfn.IFS(J306&lt;3000,$P$3,J306&lt;5000,$P$4,J306&lt;10000,$P$5,J306&gt;10000,$P$6)</f>
        <v>$10.000 en adelante</v>
      </c>
      <c r="G306" s="6" t="s">
        <v>434</v>
      </c>
      <c r="H306" s="7" t="s">
        <v>79</v>
      </c>
      <c r="I306" s="8">
        <v>3249.4285</v>
      </c>
      <c r="J306" s="9">
        <v>15550</v>
      </c>
      <c r="K306" s="9">
        <v>13995</v>
      </c>
      <c r="L306" s="10"/>
    </row>
    <row r="307" spans="1:12" ht="13" x14ac:dyDescent="0.3">
      <c r="A307" s="5" t="s">
        <v>391</v>
      </c>
      <c r="B307" s="5" t="s">
        <v>435</v>
      </c>
      <c r="C307" s="5" t="s">
        <v>393</v>
      </c>
      <c r="D307" s="5" t="s">
        <v>393</v>
      </c>
      <c r="E307" s="5" t="s">
        <v>436</v>
      </c>
      <c r="F307" s="5" t="str" cm="1">
        <f t="array" ref="F307">_xlfn.IFS(J307&lt;3000,$P$3,J307&lt;5000,$P$4,J307&lt;10000,$P$5,J307&gt;10000,$P$6)</f>
        <v>$0 a $3.000</v>
      </c>
      <c r="G307" s="4" t="s">
        <v>437</v>
      </c>
      <c r="H307" s="7" t="s">
        <v>396</v>
      </c>
      <c r="I307" s="8">
        <v>348.74666666666667</v>
      </c>
      <c r="J307" s="9">
        <v>440</v>
      </c>
      <c r="K307" s="9">
        <v>396</v>
      </c>
      <c r="L307" s="10"/>
    </row>
    <row r="308" spans="1:12" ht="13" x14ac:dyDescent="0.3">
      <c r="A308" s="5" t="s">
        <v>391</v>
      </c>
      <c r="B308" s="5" t="s">
        <v>435</v>
      </c>
      <c r="C308" s="5" t="s">
        <v>393</v>
      </c>
      <c r="D308" s="5" t="s">
        <v>393</v>
      </c>
      <c r="E308" s="5" t="s">
        <v>436</v>
      </c>
      <c r="F308" s="5" t="str" cm="1">
        <f t="array" ref="F308">_xlfn.IFS(J308&lt;3000,$P$3,J308&lt;5000,$P$4,J308&lt;10000,$P$5,J308&gt;10000,$P$6)</f>
        <v>$0 a $3.000</v>
      </c>
      <c r="G308" s="4" t="s">
        <v>438</v>
      </c>
      <c r="H308" s="7" t="s">
        <v>396</v>
      </c>
      <c r="I308" s="8">
        <v>377.17333333333335</v>
      </c>
      <c r="J308" s="9">
        <v>470</v>
      </c>
      <c r="K308" s="9">
        <v>423</v>
      </c>
      <c r="L308" s="10"/>
    </row>
    <row r="309" spans="1:12" ht="13" x14ac:dyDescent="0.3">
      <c r="A309" s="5" t="s">
        <v>391</v>
      </c>
      <c r="B309" s="5" t="s">
        <v>435</v>
      </c>
      <c r="C309" s="5" t="s">
        <v>393</v>
      </c>
      <c r="D309" s="5" t="s">
        <v>393</v>
      </c>
      <c r="E309" s="5" t="s">
        <v>436</v>
      </c>
      <c r="F309" s="5" t="str" cm="1">
        <f t="array" ref="F309">_xlfn.IFS(J309&lt;3000,$P$3,J309&lt;5000,$P$4,J309&lt;10000,$P$5,J309&gt;10000,$P$6)</f>
        <v>$0 a $3.000</v>
      </c>
      <c r="G309" s="4" t="s">
        <v>439</v>
      </c>
      <c r="H309" s="7" t="s">
        <v>396</v>
      </c>
      <c r="I309" s="8">
        <v>377.17333333333335</v>
      </c>
      <c r="J309" s="9">
        <v>470</v>
      </c>
      <c r="K309" s="9">
        <v>423</v>
      </c>
      <c r="L309" s="10"/>
    </row>
    <row r="310" spans="1:12" ht="13" x14ac:dyDescent="0.3">
      <c r="A310" s="5" t="s">
        <v>391</v>
      </c>
      <c r="B310" s="5" t="s">
        <v>435</v>
      </c>
      <c r="C310" s="5" t="s">
        <v>393</v>
      </c>
      <c r="D310" s="5" t="s">
        <v>393</v>
      </c>
      <c r="E310" s="5" t="s">
        <v>436</v>
      </c>
      <c r="F310" s="5" t="str" cm="1">
        <f t="array" ref="F310">_xlfn.IFS(J310&lt;3000,$P$3,J310&lt;5000,$P$4,J310&lt;10000,$P$5,J310&gt;10000,$P$6)</f>
        <v>$0 a $3.000</v>
      </c>
      <c r="G310" s="4" t="s">
        <v>440</v>
      </c>
      <c r="H310" s="7" t="s">
        <v>396</v>
      </c>
      <c r="I310" s="8">
        <v>377.17333333333335</v>
      </c>
      <c r="J310" s="9">
        <v>470</v>
      </c>
      <c r="K310" s="9">
        <v>423</v>
      </c>
      <c r="L310" s="10"/>
    </row>
    <row r="311" spans="1:12" ht="13" x14ac:dyDescent="0.3">
      <c r="A311" s="5" t="s">
        <v>391</v>
      </c>
      <c r="B311" s="5" t="s">
        <v>435</v>
      </c>
      <c r="C311" s="5" t="s">
        <v>393</v>
      </c>
      <c r="D311" s="5" t="s">
        <v>393</v>
      </c>
      <c r="E311" s="5" t="s">
        <v>436</v>
      </c>
      <c r="F311" s="5" t="str" cm="1">
        <f t="array" ref="F311">_xlfn.IFS(J311&lt;3000,$P$3,J311&lt;5000,$P$4,J311&lt;10000,$P$5,J311&gt;10000,$P$6)</f>
        <v>$0 a $3.000</v>
      </c>
      <c r="G311" s="4" t="s">
        <v>441</v>
      </c>
      <c r="H311" s="7" t="s">
        <v>396</v>
      </c>
      <c r="I311" s="8">
        <v>377.17333333333335</v>
      </c>
      <c r="J311" s="9">
        <v>470</v>
      </c>
      <c r="K311" s="9">
        <v>423</v>
      </c>
      <c r="L311" s="10"/>
    </row>
    <row r="312" spans="1:12" ht="13" x14ac:dyDescent="0.3">
      <c r="A312" s="5" t="s">
        <v>391</v>
      </c>
      <c r="B312" s="5" t="s">
        <v>435</v>
      </c>
      <c r="C312" s="5" t="s">
        <v>393</v>
      </c>
      <c r="D312" s="5" t="s">
        <v>393</v>
      </c>
      <c r="E312" s="5" t="s">
        <v>436</v>
      </c>
      <c r="F312" s="5" t="str" cm="1">
        <f t="array" ref="F312">_xlfn.IFS(J312&lt;3000,$P$3,J312&lt;5000,$P$4,J312&lt;10000,$P$5,J312&gt;10000,$P$6)</f>
        <v>$0 a $3.000</v>
      </c>
      <c r="G312" s="4" t="s">
        <v>442</v>
      </c>
      <c r="H312" s="7" t="s">
        <v>396</v>
      </c>
      <c r="I312" s="8">
        <v>377.17333333333335</v>
      </c>
      <c r="J312" s="9">
        <v>470</v>
      </c>
      <c r="K312" s="9">
        <v>423</v>
      </c>
      <c r="L312" s="10"/>
    </row>
    <row r="313" spans="1:12" ht="13" x14ac:dyDescent="0.3">
      <c r="A313" s="5" t="s">
        <v>391</v>
      </c>
      <c r="B313" s="5" t="s">
        <v>435</v>
      </c>
      <c r="C313" s="5" t="s">
        <v>393</v>
      </c>
      <c r="D313" s="5" t="s">
        <v>393</v>
      </c>
      <c r="E313" s="5" t="s">
        <v>443</v>
      </c>
      <c r="F313" s="5" t="str" cm="1">
        <f t="array" ref="F313">_xlfn.IFS(J313&lt;3000,$P$3,J313&lt;5000,$P$4,J313&lt;10000,$P$5,J313&gt;10000,$P$6)</f>
        <v>$0 a $3.000</v>
      </c>
      <c r="G313" s="6" t="s">
        <v>444</v>
      </c>
      <c r="H313" s="7" t="s">
        <v>79</v>
      </c>
      <c r="I313" s="8">
        <v>1333</v>
      </c>
      <c r="J313" s="9">
        <v>1950</v>
      </c>
      <c r="K313" s="9">
        <v>1755</v>
      </c>
      <c r="L313" s="10"/>
    </row>
    <row r="314" spans="1:12" ht="13" x14ac:dyDescent="0.3">
      <c r="A314" s="5" t="s">
        <v>391</v>
      </c>
      <c r="B314" s="5" t="s">
        <v>435</v>
      </c>
      <c r="C314" s="5" t="s">
        <v>393</v>
      </c>
      <c r="D314" s="5" t="s">
        <v>393</v>
      </c>
      <c r="E314" s="5" t="s">
        <v>443</v>
      </c>
      <c r="F314" s="5" t="str" cm="1">
        <f t="array" ref="F314">_xlfn.IFS(J314&lt;3000,$P$3,J314&lt;5000,$P$4,J314&lt;10000,$P$5,J314&gt;10000,$P$6)</f>
        <v>$0 a $3.000</v>
      </c>
      <c r="G314" s="6" t="s">
        <v>445</v>
      </c>
      <c r="H314" s="7" t="s">
        <v>79</v>
      </c>
      <c r="I314" s="8">
        <v>1476</v>
      </c>
      <c r="J314" s="9">
        <v>2170</v>
      </c>
      <c r="K314" s="9">
        <v>1953</v>
      </c>
      <c r="L314" s="10"/>
    </row>
    <row r="315" spans="1:12" ht="13" x14ac:dyDescent="0.3">
      <c r="A315" s="5" t="s">
        <v>391</v>
      </c>
      <c r="B315" s="5" t="s">
        <v>435</v>
      </c>
      <c r="C315" s="5" t="s">
        <v>393</v>
      </c>
      <c r="D315" s="5" t="s">
        <v>393</v>
      </c>
      <c r="E315" s="5" t="s">
        <v>443</v>
      </c>
      <c r="F315" s="5" t="str" cm="1">
        <f t="array" ref="F315">_xlfn.IFS(J315&lt;3000,$P$3,J315&lt;5000,$P$4,J315&lt;10000,$P$5,J315&gt;10000,$P$6)</f>
        <v>$0 a $3.000</v>
      </c>
      <c r="G315" s="4" t="s">
        <v>446</v>
      </c>
      <c r="H315" s="7" t="s">
        <v>79</v>
      </c>
      <c r="I315" s="8">
        <v>1476</v>
      </c>
      <c r="J315" s="9">
        <v>2170</v>
      </c>
      <c r="K315" s="9">
        <v>1953</v>
      </c>
      <c r="L315" s="10"/>
    </row>
    <row r="316" spans="1:12" ht="13" x14ac:dyDescent="0.3">
      <c r="A316" s="5" t="s">
        <v>391</v>
      </c>
      <c r="B316" s="5" t="s">
        <v>435</v>
      </c>
      <c r="C316" s="5" t="s">
        <v>393</v>
      </c>
      <c r="D316" s="5" t="s">
        <v>393</v>
      </c>
      <c r="E316" s="5" t="s">
        <v>443</v>
      </c>
      <c r="F316" s="5" t="str" cm="1">
        <f t="array" ref="F316">_xlfn.IFS(J316&lt;3000,$P$3,J316&lt;5000,$P$4,J316&lt;10000,$P$5,J316&gt;10000,$P$6)</f>
        <v>$0 a $3.000</v>
      </c>
      <c r="G316" s="6" t="s">
        <v>447</v>
      </c>
      <c r="H316" s="7" t="s">
        <v>79</v>
      </c>
      <c r="I316" s="8">
        <v>1476</v>
      </c>
      <c r="J316" s="9">
        <v>2170</v>
      </c>
      <c r="K316" s="9">
        <v>1953</v>
      </c>
      <c r="L316" s="10"/>
    </row>
    <row r="317" spans="1:12" ht="13" x14ac:dyDescent="0.3">
      <c r="A317" s="5" t="s">
        <v>391</v>
      </c>
      <c r="B317" s="5" t="s">
        <v>435</v>
      </c>
      <c r="C317" s="5" t="s">
        <v>393</v>
      </c>
      <c r="D317" s="5" t="s">
        <v>393</v>
      </c>
      <c r="E317" s="5" t="s">
        <v>443</v>
      </c>
      <c r="F317" s="5" t="str" cm="1">
        <f t="array" ref="F317">_xlfn.IFS(J317&lt;3000,$P$3,J317&lt;5000,$P$4,J317&lt;10000,$P$5,J317&gt;10000,$P$6)</f>
        <v>$0 a $3.000</v>
      </c>
      <c r="G317" s="4" t="s">
        <v>448</v>
      </c>
      <c r="H317" s="7" t="s">
        <v>79</v>
      </c>
      <c r="I317" s="8">
        <v>1476</v>
      </c>
      <c r="J317" s="9">
        <v>2170</v>
      </c>
      <c r="K317" s="9">
        <v>1953</v>
      </c>
      <c r="L317" s="10"/>
    </row>
    <row r="318" spans="1:12" ht="13" x14ac:dyDescent="0.3">
      <c r="A318" s="5" t="s">
        <v>391</v>
      </c>
      <c r="B318" s="5" t="s">
        <v>435</v>
      </c>
      <c r="C318" s="5" t="s">
        <v>393</v>
      </c>
      <c r="D318" s="5" t="s">
        <v>393</v>
      </c>
      <c r="E318" s="5" t="s">
        <v>443</v>
      </c>
      <c r="F318" s="5" t="str" cm="1">
        <f t="array" ref="F318">_xlfn.IFS(J318&lt;3000,$P$3,J318&lt;5000,$P$4,J318&lt;10000,$P$5,J318&gt;10000,$P$6)</f>
        <v>$0 a $3.000</v>
      </c>
      <c r="G318" s="6" t="s">
        <v>449</v>
      </c>
      <c r="H318" s="7" t="s">
        <v>79</v>
      </c>
      <c r="I318" s="8">
        <v>1476</v>
      </c>
      <c r="J318" s="9">
        <v>2170</v>
      </c>
      <c r="K318" s="9">
        <v>1953</v>
      </c>
      <c r="L318" s="10"/>
    </row>
    <row r="319" spans="1:12" ht="13" x14ac:dyDescent="0.3">
      <c r="A319" s="5" t="s">
        <v>391</v>
      </c>
      <c r="B319" s="5" t="s">
        <v>435</v>
      </c>
      <c r="C319" s="5" t="s">
        <v>393</v>
      </c>
      <c r="D319" s="5" t="s">
        <v>393</v>
      </c>
      <c r="E319" s="5" t="s">
        <v>443</v>
      </c>
      <c r="F319" s="5" t="str" cm="1">
        <f t="array" ref="F319">_xlfn.IFS(J319&lt;3000,$P$3,J319&lt;5000,$P$4,J319&lt;10000,$P$5,J319&gt;10000,$P$6)</f>
        <v>$0 a $3.000</v>
      </c>
      <c r="G319" s="4" t="s">
        <v>450</v>
      </c>
      <c r="H319" s="7" t="s">
        <v>79</v>
      </c>
      <c r="I319" s="8">
        <v>1476</v>
      </c>
      <c r="J319" s="9">
        <v>2170</v>
      </c>
      <c r="K319" s="9">
        <v>1953</v>
      </c>
      <c r="L319" s="10"/>
    </row>
    <row r="320" spans="1:12" ht="13" x14ac:dyDescent="0.3">
      <c r="A320" s="5" t="s">
        <v>391</v>
      </c>
      <c r="B320" s="5" t="s">
        <v>435</v>
      </c>
      <c r="C320" s="5" t="s">
        <v>393</v>
      </c>
      <c r="D320" s="5" t="s">
        <v>393</v>
      </c>
      <c r="E320" s="5" t="s">
        <v>443</v>
      </c>
      <c r="F320" s="5" t="str" cm="1">
        <f t="array" ref="F320">_xlfn.IFS(J320&lt;3000,$P$3,J320&lt;5000,$P$4,J320&lt;10000,$P$5,J320&gt;10000,$P$6)</f>
        <v>$0 a $3.000</v>
      </c>
      <c r="G320" s="4" t="s">
        <v>451</v>
      </c>
      <c r="H320" s="7" t="s">
        <v>79</v>
      </c>
      <c r="I320" s="8">
        <v>1476</v>
      </c>
      <c r="J320" s="9">
        <v>2170</v>
      </c>
      <c r="K320" s="9">
        <v>1953</v>
      </c>
      <c r="L320" s="10"/>
    </row>
    <row r="321" spans="1:12" ht="13" x14ac:dyDescent="0.3">
      <c r="A321" s="5" t="s">
        <v>391</v>
      </c>
      <c r="B321" s="5" t="s">
        <v>435</v>
      </c>
      <c r="C321" s="5" t="s">
        <v>393</v>
      </c>
      <c r="D321" s="5" t="s">
        <v>393</v>
      </c>
      <c r="E321" s="5" t="s">
        <v>443</v>
      </c>
      <c r="F321" s="5" t="str" cm="1">
        <f t="array" ref="F321">_xlfn.IFS(J321&lt;3000,$P$3,J321&lt;5000,$P$4,J321&lt;10000,$P$5,J321&gt;10000,$P$6)</f>
        <v>$0 a $3.000</v>
      </c>
      <c r="G321" s="26" t="s">
        <v>704</v>
      </c>
      <c r="H321" s="7" t="s">
        <v>79</v>
      </c>
      <c r="I321" s="8">
        <v>1476</v>
      </c>
      <c r="J321" s="9">
        <v>2170</v>
      </c>
      <c r="K321" s="9">
        <v>1953</v>
      </c>
      <c r="L321" s="10"/>
    </row>
    <row r="322" spans="1:12" ht="13" x14ac:dyDescent="0.3">
      <c r="A322" s="5" t="s">
        <v>391</v>
      </c>
      <c r="B322" s="5" t="s">
        <v>435</v>
      </c>
      <c r="C322" s="5" t="s">
        <v>393</v>
      </c>
      <c r="D322" s="5" t="s">
        <v>393</v>
      </c>
      <c r="E322" s="5" t="s">
        <v>452</v>
      </c>
      <c r="F322" s="5" t="str" cm="1">
        <f t="array" ref="F322">_xlfn.IFS(J322&lt;3000,$P$3,J322&lt;5000,$P$4,J322&lt;10000,$P$5,J322&gt;10000,$P$6)</f>
        <v>$0 a $3.000</v>
      </c>
      <c r="G322" s="6" t="s">
        <v>453</v>
      </c>
      <c r="H322" s="7" t="s">
        <v>79</v>
      </c>
      <c r="I322" s="8">
        <v>1455</v>
      </c>
      <c r="J322" s="9">
        <v>2100</v>
      </c>
      <c r="K322" s="9">
        <v>1890</v>
      </c>
      <c r="L322" s="10"/>
    </row>
    <row r="323" spans="1:12" ht="13" x14ac:dyDescent="0.3">
      <c r="A323" s="5" t="s">
        <v>391</v>
      </c>
      <c r="B323" s="5" t="s">
        <v>435</v>
      </c>
      <c r="C323" s="5" t="s">
        <v>393</v>
      </c>
      <c r="D323" s="5" t="s">
        <v>393</v>
      </c>
      <c r="E323" s="5" t="s">
        <v>454</v>
      </c>
      <c r="F323" s="5" t="str" cm="1">
        <f t="array" ref="F323">_xlfn.IFS(J323&lt;3000,$P$3,J323&lt;5000,$P$4,J323&lt;10000,$P$5,J323&gt;10000,$P$6)</f>
        <v>$5.000 - $10.000</v>
      </c>
      <c r="G323" s="4" t="s">
        <v>455</v>
      </c>
      <c r="H323" s="7" t="s">
        <v>79</v>
      </c>
      <c r="I323" s="8">
        <v>4900</v>
      </c>
      <c r="J323" s="9">
        <v>6990</v>
      </c>
      <c r="K323" s="9">
        <v>6291</v>
      </c>
      <c r="L323" s="10"/>
    </row>
    <row r="324" spans="1:12" ht="13" x14ac:dyDescent="0.3">
      <c r="A324" s="5" t="s">
        <v>391</v>
      </c>
      <c r="B324" s="5" t="s">
        <v>456</v>
      </c>
      <c r="C324" s="5" t="s">
        <v>393</v>
      </c>
      <c r="D324" s="5" t="s">
        <v>393</v>
      </c>
      <c r="E324" s="5" t="s">
        <v>457</v>
      </c>
      <c r="F324" s="5" t="str" cm="1">
        <f t="array" ref="F324">_xlfn.IFS(J324&lt;3000,$P$3,J324&lt;5000,$P$4,J324&lt;10000,$P$5,J324&gt;10000,$P$6)</f>
        <v>$5.000 - $10.000</v>
      </c>
      <c r="G324" s="4" t="s">
        <v>458</v>
      </c>
      <c r="H324" s="7" t="s">
        <v>79</v>
      </c>
      <c r="I324" s="8">
        <v>4372.8704250000001</v>
      </c>
      <c r="J324" s="9">
        <v>8880</v>
      </c>
      <c r="K324" s="9">
        <v>7992</v>
      </c>
      <c r="L324" s="10"/>
    </row>
    <row r="325" spans="1:12" ht="13" x14ac:dyDescent="0.3">
      <c r="A325" s="5" t="s">
        <v>391</v>
      </c>
      <c r="B325" s="5" t="s">
        <v>456</v>
      </c>
      <c r="C325" s="5" t="s">
        <v>393</v>
      </c>
      <c r="D325" s="5" t="s">
        <v>393</v>
      </c>
      <c r="E325" s="5" t="s">
        <v>457</v>
      </c>
      <c r="F325" s="5" t="str" cm="1">
        <f t="array" ref="F325">_xlfn.IFS(J325&lt;3000,$P$3,J325&lt;5000,$P$4,J325&lt;10000,$P$5,J325&gt;10000,$P$6)</f>
        <v>$10.000 en adelante</v>
      </c>
      <c r="G325" s="4" t="s">
        <v>459</v>
      </c>
      <c r="H325" s="7" t="s">
        <v>79</v>
      </c>
      <c r="I325" s="8">
        <v>7509.1631999999991</v>
      </c>
      <c r="J325" s="9">
        <v>15550</v>
      </c>
      <c r="K325" s="9">
        <v>13995</v>
      </c>
      <c r="L325" s="10"/>
    </row>
    <row r="326" spans="1:12" ht="13" x14ac:dyDescent="0.3">
      <c r="A326" s="5" t="s">
        <v>391</v>
      </c>
      <c r="B326" s="5" t="s">
        <v>456</v>
      </c>
      <c r="C326" s="5" t="s">
        <v>393</v>
      </c>
      <c r="D326" s="5" t="s">
        <v>393</v>
      </c>
      <c r="E326" s="5" t="s">
        <v>457</v>
      </c>
      <c r="F326" s="5" t="str" cm="1">
        <f t="array" ref="F326">_xlfn.IFS(J326&lt;3000,$P$3,J326&lt;5000,$P$4,J326&lt;10000,$P$5,J326&gt;10000,$P$6)</f>
        <v>$10.000 en adelante</v>
      </c>
      <c r="G326" s="4" t="s">
        <v>460</v>
      </c>
      <c r="H326" s="7" t="s">
        <v>79</v>
      </c>
      <c r="I326" s="8">
        <v>24437.267084999996</v>
      </c>
      <c r="J326" s="9">
        <v>46660</v>
      </c>
      <c r="K326" s="9">
        <v>41994</v>
      </c>
      <c r="L326" s="10"/>
    </row>
    <row r="327" spans="1:12" ht="13" x14ac:dyDescent="0.3">
      <c r="A327" s="5" t="s">
        <v>461</v>
      </c>
      <c r="B327" s="5" t="s">
        <v>23</v>
      </c>
      <c r="C327" s="5" t="s">
        <v>393</v>
      </c>
      <c r="D327" s="5" t="s">
        <v>393</v>
      </c>
      <c r="E327" s="5" t="s">
        <v>462</v>
      </c>
      <c r="F327" s="5" t="str" cm="1">
        <f t="array" ref="F327">_xlfn.IFS(J327&lt;3000,$O$3,J327&lt;5000,$O$4,J327&lt;10000,$O$5,J327&gt;10000,$O$6)</f>
        <v>$0 a $3.000</v>
      </c>
      <c r="G327" s="6" t="s">
        <v>463</v>
      </c>
      <c r="H327" s="7" t="s">
        <v>79</v>
      </c>
      <c r="I327" s="8">
        <v>902.53</v>
      </c>
      <c r="J327" s="9">
        <v>1330</v>
      </c>
      <c r="K327" s="9">
        <v>1197</v>
      </c>
      <c r="L327" s="10"/>
    </row>
    <row r="328" spans="1:12" ht="13" x14ac:dyDescent="0.3">
      <c r="A328" s="5" t="s">
        <v>461</v>
      </c>
      <c r="B328" s="5" t="s">
        <v>23</v>
      </c>
      <c r="C328" s="5" t="s">
        <v>393</v>
      </c>
      <c r="D328" s="5" t="s">
        <v>393</v>
      </c>
      <c r="E328" s="5" t="s">
        <v>464</v>
      </c>
      <c r="F328" s="5" t="str" cm="1">
        <f t="array" ref="F328">_xlfn.IFS(J328&lt;3000,$O$3,J328&lt;5000,$O$4,J328&lt;10000,$O$5,J328&gt;10000,$O$6)</f>
        <v>$0 a $3.000</v>
      </c>
      <c r="G328" s="6" t="s">
        <v>465</v>
      </c>
      <c r="H328" s="7" t="s">
        <v>79</v>
      </c>
      <c r="I328" s="8">
        <v>1389.04</v>
      </c>
      <c r="J328" s="9">
        <v>1990</v>
      </c>
      <c r="K328" s="9">
        <v>1791</v>
      </c>
      <c r="L328" s="10"/>
    </row>
    <row r="329" spans="1:12" ht="13" x14ac:dyDescent="0.3">
      <c r="A329" s="5" t="s">
        <v>461</v>
      </c>
      <c r="B329" s="5" t="s">
        <v>23</v>
      </c>
      <c r="C329" s="5" t="s">
        <v>393</v>
      </c>
      <c r="D329" s="5" t="s">
        <v>393</v>
      </c>
      <c r="E329" s="5" t="s">
        <v>464</v>
      </c>
      <c r="F329" s="5" t="e" cm="1">
        <f t="array" ref="F329">_xlfn.IFS(J329&lt;3000,$O$3,J329&lt;5000,$O$4,J329&lt;10000,$O$5,J329&gt;10000,$O$6)</f>
        <v>#N/A</v>
      </c>
      <c r="G329" s="6" t="s">
        <v>466</v>
      </c>
      <c r="H329" s="7" t="s">
        <v>79</v>
      </c>
      <c r="I329" s="8" t="e">
        <v>#N/A</v>
      </c>
      <c r="J329" s="9" t="e">
        <v>#N/A</v>
      </c>
      <c r="K329" s="9" t="e">
        <v>#N/A</v>
      </c>
      <c r="L329" s="10"/>
    </row>
    <row r="330" spans="1:12" ht="13" x14ac:dyDescent="0.3">
      <c r="A330" s="5" t="s">
        <v>461</v>
      </c>
      <c r="B330" s="5" t="s">
        <v>23</v>
      </c>
      <c r="C330" s="5" t="s">
        <v>393</v>
      </c>
      <c r="D330" s="5" t="s">
        <v>393</v>
      </c>
      <c r="E330" s="5" t="s">
        <v>464</v>
      </c>
      <c r="F330" s="5" t="str" cm="1">
        <f t="array" ref="F330">_xlfn.IFS(J330&lt;3000,$O$3,J330&lt;5000,$O$4,J330&lt;10000,$O$5,J330&gt;10000,$O$6)</f>
        <v>$0 a $3.000</v>
      </c>
      <c r="G330" s="6" t="s">
        <v>467</v>
      </c>
      <c r="H330" s="7" t="s">
        <v>79</v>
      </c>
      <c r="I330" s="8">
        <v>1772</v>
      </c>
      <c r="J330" s="9">
        <v>2550</v>
      </c>
      <c r="K330" s="9">
        <v>2295</v>
      </c>
      <c r="L330" s="10"/>
    </row>
    <row r="331" spans="1:12" ht="13" x14ac:dyDescent="0.3">
      <c r="A331" s="5" t="s">
        <v>461</v>
      </c>
      <c r="B331" s="5" t="s">
        <v>23</v>
      </c>
      <c r="C331" s="5" t="s">
        <v>393</v>
      </c>
      <c r="D331" s="5" t="s">
        <v>393</v>
      </c>
      <c r="E331" s="5" t="s">
        <v>464</v>
      </c>
      <c r="F331" s="5" t="str" cm="1">
        <f t="array" ref="F331">_xlfn.IFS(J331&lt;3000,$O$3,J331&lt;5000,$O$4,J331&lt;10000,$O$5,J331&gt;10000,$O$6)</f>
        <v>$3.000 - $5.000</v>
      </c>
      <c r="G331" s="4" t="s">
        <v>468</v>
      </c>
      <c r="H331" s="7" t="s">
        <v>79</v>
      </c>
      <c r="I331" s="8">
        <v>2840</v>
      </c>
      <c r="J331" s="9">
        <v>4100</v>
      </c>
      <c r="K331" s="9">
        <v>3690</v>
      </c>
      <c r="L331" s="10"/>
    </row>
    <row r="332" spans="1:12" ht="13" x14ac:dyDescent="0.3">
      <c r="A332" s="5" t="s">
        <v>461</v>
      </c>
      <c r="B332" s="5" t="s">
        <v>23</v>
      </c>
      <c r="C332" s="5" t="s">
        <v>393</v>
      </c>
      <c r="D332" s="5" t="s">
        <v>393</v>
      </c>
      <c r="E332" s="5" t="s">
        <v>469</v>
      </c>
      <c r="F332" s="5" t="str" cm="1">
        <f t="array" ref="F332">_xlfn.IFS(J332&lt;3000,$O$3,J332&lt;5000,$O$4,J332&lt;10000,$O$5,J332&gt;10000,$O$6)</f>
        <v>$0 a $3.000</v>
      </c>
      <c r="G332" s="6" t="s">
        <v>469</v>
      </c>
      <c r="H332" s="7" t="s">
        <v>79</v>
      </c>
      <c r="I332" s="8">
        <v>2039.95</v>
      </c>
      <c r="J332" s="9">
        <v>2990</v>
      </c>
      <c r="K332" s="9">
        <v>2691</v>
      </c>
      <c r="L332" s="10"/>
    </row>
    <row r="333" spans="1:12" ht="13" x14ac:dyDescent="0.3">
      <c r="A333" s="5" t="s">
        <v>461</v>
      </c>
      <c r="B333" s="5" t="s">
        <v>23</v>
      </c>
      <c r="C333" s="5" t="s">
        <v>393</v>
      </c>
      <c r="D333" s="5" t="s">
        <v>393</v>
      </c>
      <c r="E333" s="5" t="s">
        <v>470</v>
      </c>
      <c r="F333" s="5" t="str" cm="1">
        <f t="array" ref="F333">_xlfn.IFS(J333&lt;3000,$O$3,J333&lt;5000,$O$4,J333&lt;10000,$O$5,J333&gt;10000,$O$6)</f>
        <v>$3.000 - $5.000</v>
      </c>
      <c r="G333" s="4" t="s">
        <v>471</v>
      </c>
      <c r="H333" s="7" t="s">
        <v>79</v>
      </c>
      <c r="I333" s="8">
        <v>2644.38</v>
      </c>
      <c r="J333" s="9">
        <v>3880</v>
      </c>
      <c r="K333" s="9">
        <v>3492</v>
      </c>
      <c r="L333" s="10"/>
    </row>
    <row r="334" spans="1:12" ht="13" x14ac:dyDescent="0.3">
      <c r="A334" s="5" t="s">
        <v>461</v>
      </c>
      <c r="B334" s="5" t="s">
        <v>618</v>
      </c>
      <c r="C334" s="5" t="s">
        <v>393</v>
      </c>
      <c r="D334" s="5" t="s">
        <v>393</v>
      </c>
      <c r="E334" s="5" t="s">
        <v>472</v>
      </c>
      <c r="F334" s="5" t="str" cm="1">
        <f t="array" ref="F334">_xlfn.IFS(J334&lt;3000,$O$3,J334&lt;5000,$O$4,J334&lt;10000,$O$5,J334&gt;10000,$O$6)</f>
        <v>$3.000 - $5.000</v>
      </c>
      <c r="G334" s="6" t="s">
        <v>473</v>
      </c>
      <c r="H334" s="7" t="s">
        <v>79</v>
      </c>
      <c r="I334" s="8">
        <v>2795.483999999999</v>
      </c>
      <c r="J334" s="9">
        <v>4550</v>
      </c>
      <c r="K334" s="9">
        <v>4095</v>
      </c>
      <c r="L334" s="10"/>
    </row>
    <row r="335" spans="1:12" ht="13" x14ac:dyDescent="0.3">
      <c r="A335" s="5" t="s">
        <v>461</v>
      </c>
      <c r="B335" s="5" t="s">
        <v>618</v>
      </c>
      <c r="C335" s="5" t="s">
        <v>393</v>
      </c>
      <c r="D335" s="5" t="s">
        <v>393</v>
      </c>
      <c r="E335" s="5" t="s">
        <v>474</v>
      </c>
      <c r="F335" s="5" t="str" cm="1">
        <f t="array" ref="F335">_xlfn.IFS(J335&lt;3000,$O$3,J335&lt;5000,$O$4,J335&lt;10000,$O$5,J335&gt;10000,$O$6)</f>
        <v>$3.000 - $5.000</v>
      </c>
      <c r="G335" s="6" t="s">
        <v>475</v>
      </c>
      <c r="H335" s="7" t="s">
        <v>79</v>
      </c>
      <c r="I335" s="8">
        <v>3250</v>
      </c>
      <c r="J335" s="9">
        <v>4770</v>
      </c>
      <c r="K335" s="9">
        <v>4293</v>
      </c>
      <c r="L335" s="10"/>
    </row>
    <row r="336" spans="1:12" ht="13" x14ac:dyDescent="0.3">
      <c r="A336" s="5" t="s">
        <v>461</v>
      </c>
      <c r="B336" s="5" t="s">
        <v>618</v>
      </c>
      <c r="C336" s="5" t="s">
        <v>393</v>
      </c>
      <c r="D336" s="5" t="s">
        <v>393</v>
      </c>
      <c r="E336" s="5" t="s">
        <v>474</v>
      </c>
      <c r="F336" s="5" t="str" cm="1">
        <f t="array" ref="F336">_xlfn.IFS(J336&lt;3000,$O$3,J336&lt;5000,$O$4,J336&lt;10000,$O$5,J336&gt;10000,$O$6)</f>
        <v>$3.000 - $5.000</v>
      </c>
      <c r="G336" s="4" t="s">
        <v>476</v>
      </c>
      <c r="H336" s="7" t="s">
        <v>79</v>
      </c>
      <c r="I336" s="8">
        <v>3250</v>
      </c>
      <c r="J336" s="9">
        <v>4770</v>
      </c>
      <c r="K336" s="9">
        <v>4293</v>
      </c>
      <c r="L336" s="10"/>
    </row>
    <row r="337" spans="1:12" ht="13" x14ac:dyDescent="0.3">
      <c r="A337" s="5" t="s">
        <v>461</v>
      </c>
      <c r="B337" s="5" t="s">
        <v>618</v>
      </c>
      <c r="C337" s="5" t="s">
        <v>393</v>
      </c>
      <c r="D337" s="5" t="s">
        <v>393</v>
      </c>
      <c r="E337" s="5" t="s">
        <v>477</v>
      </c>
      <c r="F337" s="5" t="str" cm="1">
        <f t="array" ref="F337">_xlfn.IFS(J337&lt;3000,$O$3,J337&lt;5000,$O$4,J337&lt;10000,$O$5,J337&gt;10000,$O$6)</f>
        <v>$5.000 - $10.000</v>
      </c>
      <c r="G337" s="6" t="s">
        <v>477</v>
      </c>
      <c r="H337" s="7" t="s">
        <v>79</v>
      </c>
      <c r="I337" s="8">
        <v>3816.9079999999999</v>
      </c>
      <c r="J337" s="9">
        <v>5440</v>
      </c>
      <c r="K337" s="9">
        <v>4896</v>
      </c>
      <c r="L337" s="10"/>
    </row>
    <row r="338" spans="1:12" ht="13" x14ac:dyDescent="0.3">
      <c r="A338" s="5" t="s">
        <v>461</v>
      </c>
      <c r="B338" s="5" t="s">
        <v>23</v>
      </c>
      <c r="C338" s="5" t="s">
        <v>393</v>
      </c>
      <c r="D338" s="5" t="s">
        <v>393</v>
      </c>
      <c r="E338" s="5" t="s">
        <v>478</v>
      </c>
      <c r="F338" s="5" t="str" cm="1">
        <f t="array" ref="F338">_xlfn.IFS(J338&lt;3000,$O$3,J338&lt;5000,$O$4,J338&lt;10000,$O$5,J338&gt;10000,$O$6)</f>
        <v>$0 a $3.000</v>
      </c>
      <c r="G338" s="4" t="s">
        <v>479</v>
      </c>
      <c r="H338" s="7" t="s">
        <v>79</v>
      </c>
      <c r="I338" s="8">
        <v>1469.05</v>
      </c>
      <c r="J338" s="9">
        <v>2100</v>
      </c>
      <c r="K338" s="9">
        <v>1890</v>
      </c>
      <c r="L338" s="10"/>
    </row>
    <row r="339" spans="1:12" ht="13" x14ac:dyDescent="0.3">
      <c r="A339" s="5" t="s">
        <v>461</v>
      </c>
      <c r="B339" s="5" t="s">
        <v>23</v>
      </c>
      <c r="C339" s="5" t="s">
        <v>393</v>
      </c>
      <c r="D339" s="5" t="s">
        <v>393</v>
      </c>
      <c r="E339" s="5" t="s">
        <v>478</v>
      </c>
      <c r="F339" s="5" t="str" cm="1">
        <f t="array" ref="F339">_xlfn.IFS(J339&lt;3000,$O$3,J339&lt;5000,$O$4,J339&lt;10000,$O$5,J339&gt;10000,$O$6)</f>
        <v>$0 a $3.000</v>
      </c>
      <c r="G339" s="4" t="s">
        <v>480</v>
      </c>
      <c r="H339" s="7" t="s">
        <v>398</v>
      </c>
      <c r="I339" s="8">
        <v>1746.8689999999999</v>
      </c>
      <c r="J339" s="9">
        <v>2500</v>
      </c>
      <c r="K339" s="9">
        <v>2250</v>
      </c>
      <c r="L339" s="10"/>
    </row>
    <row r="340" spans="1:12" ht="13" x14ac:dyDescent="0.3">
      <c r="A340" s="5" t="s">
        <v>461</v>
      </c>
      <c r="B340" s="5" t="s">
        <v>23</v>
      </c>
      <c r="C340" s="5" t="s">
        <v>393</v>
      </c>
      <c r="D340" s="5" t="s">
        <v>393</v>
      </c>
      <c r="E340" s="5" t="s">
        <v>478</v>
      </c>
      <c r="F340" s="5" t="str" cm="1">
        <f t="array" ref="F340">_xlfn.IFS(J340&lt;3000,$O$3,J340&lt;5000,$O$4,J340&lt;10000,$O$5,J340&gt;10000,$O$6)</f>
        <v>$0 a $3.000</v>
      </c>
      <c r="G340" s="4" t="s">
        <v>481</v>
      </c>
      <c r="H340" s="7" t="s">
        <v>396</v>
      </c>
      <c r="I340" s="8">
        <v>1762.86</v>
      </c>
      <c r="J340" s="9">
        <v>2500</v>
      </c>
      <c r="K340" s="9">
        <v>2250</v>
      </c>
      <c r="L340" s="10"/>
    </row>
    <row r="341" spans="1:12" ht="13" x14ac:dyDescent="0.3">
      <c r="A341" s="5" t="s">
        <v>461</v>
      </c>
      <c r="B341" s="5" t="s">
        <v>23</v>
      </c>
      <c r="C341" s="5" t="s">
        <v>393</v>
      </c>
      <c r="D341" s="5" t="s">
        <v>393</v>
      </c>
      <c r="E341" s="5" t="s">
        <v>478</v>
      </c>
      <c r="F341" s="5" t="str" cm="1">
        <f t="array" ref="F341">_xlfn.IFS(J341&lt;3000,$O$3,J341&lt;5000,$O$4,J341&lt;10000,$O$5,J341&gt;10000,$O$6)</f>
        <v>$0 a $3.000</v>
      </c>
      <c r="G341" s="4" t="s">
        <v>482</v>
      </c>
      <c r="H341" s="7" t="s">
        <v>79</v>
      </c>
      <c r="I341" s="8">
        <v>0</v>
      </c>
      <c r="J341" s="9">
        <v>0</v>
      </c>
      <c r="K341" s="9">
        <v>0</v>
      </c>
      <c r="L341" s="10"/>
    </row>
    <row r="342" spans="1:12" ht="13" x14ac:dyDescent="0.3">
      <c r="A342" s="5" t="s">
        <v>461</v>
      </c>
      <c r="B342" s="5" t="s">
        <v>23</v>
      </c>
      <c r="C342" s="5" t="s">
        <v>393</v>
      </c>
      <c r="D342" s="5" t="s">
        <v>393</v>
      </c>
      <c r="E342" s="5" t="s">
        <v>478</v>
      </c>
      <c r="F342" s="5" t="str" cm="1">
        <f t="array" ref="F342">_xlfn.IFS(J342&lt;3000,$O$3,J342&lt;5000,$O$4,J342&lt;10000,$O$5,J342&gt;10000,$O$6)</f>
        <v>$3.000 - $5.000</v>
      </c>
      <c r="G342" s="4" t="s">
        <v>483</v>
      </c>
      <c r="H342" s="7" t="s">
        <v>79</v>
      </c>
      <c r="I342" s="8">
        <v>2518.4499999999998</v>
      </c>
      <c r="J342" s="9">
        <v>3620</v>
      </c>
      <c r="K342" s="9">
        <v>3258</v>
      </c>
      <c r="L342" s="10"/>
    </row>
    <row r="343" spans="1:12" ht="13" x14ac:dyDescent="0.3">
      <c r="A343" s="5" t="s">
        <v>461</v>
      </c>
      <c r="B343" s="5" t="s">
        <v>23</v>
      </c>
      <c r="C343" s="5" t="s">
        <v>393</v>
      </c>
      <c r="D343" s="5" t="s">
        <v>393</v>
      </c>
      <c r="E343" s="5" t="s">
        <v>478</v>
      </c>
      <c r="F343" s="5" t="str" cm="1">
        <f t="array" ref="F343">_xlfn.IFS(J343&lt;3000,$O$3,J343&lt;5000,$O$4,J343&lt;10000,$O$5,J343&gt;10000,$O$6)</f>
        <v>$3.000 - $5.000</v>
      </c>
      <c r="G343" s="4" t="s">
        <v>484</v>
      </c>
      <c r="H343" s="7" t="s">
        <v>398</v>
      </c>
      <c r="I343" s="8">
        <v>2996.96</v>
      </c>
      <c r="J343" s="9">
        <v>4330</v>
      </c>
      <c r="K343" s="9">
        <v>3897</v>
      </c>
      <c r="L343" s="10"/>
    </row>
    <row r="344" spans="1:12" ht="13" x14ac:dyDescent="0.3">
      <c r="A344" s="5" t="s">
        <v>461</v>
      </c>
      <c r="B344" s="5" t="s">
        <v>23</v>
      </c>
      <c r="C344" s="5" t="s">
        <v>393</v>
      </c>
      <c r="D344" s="5" t="s">
        <v>393</v>
      </c>
      <c r="E344" s="5" t="s">
        <v>478</v>
      </c>
      <c r="F344" s="5" t="str" cm="1">
        <f t="array" ref="F344">_xlfn.IFS(J344&lt;3000,$O$3,J344&lt;5000,$O$4,J344&lt;10000,$O$5,J344&gt;10000,$O$6)</f>
        <v>$3.000 - $5.000</v>
      </c>
      <c r="G344" s="4" t="s">
        <v>485</v>
      </c>
      <c r="H344" s="7" t="s">
        <v>396</v>
      </c>
      <c r="I344" s="8">
        <v>3022.14</v>
      </c>
      <c r="J344" s="9">
        <v>4330</v>
      </c>
      <c r="K344" s="9">
        <v>3897</v>
      </c>
      <c r="L344" s="10"/>
    </row>
    <row r="345" spans="1:12" ht="13" x14ac:dyDescent="0.3">
      <c r="A345" s="5" t="s">
        <v>461</v>
      </c>
      <c r="B345" s="5" t="s">
        <v>23</v>
      </c>
      <c r="C345" s="5" t="s">
        <v>393</v>
      </c>
      <c r="D345" s="5" t="s">
        <v>393</v>
      </c>
      <c r="E345" s="5" t="s">
        <v>478</v>
      </c>
      <c r="F345" s="5" t="str" cm="1">
        <f t="array" ref="F345">_xlfn.IFS(J345&lt;3000,$O$3,J345&lt;5000,$O$4,J345&lt;10000,$O$5,J345&gt;10000,$O$6)</f>
        <v>$5.000 - $10.000</v>
      </c>
      <c r="G345" s="4" t="s">
        <v>486</v>
      </c>
      <c r="H345" s="7" t="s">
        <v>79</v>
      </c>
      <c r="I345" s="8">
        <v>3148.0625</v>
      </c>
      <c r="J345" s="9">
        <v>5440</v>
      </c>
      <c r="K345" s="9">
        <v>4896</v>
      </c>
      <c r="L345" s="10"/>
    </row>
    <row r="346" spans="1:12" ht="13" x14ac:dyDescent="0.3">
      <c r="A346" s="5" t="s">
        <v>461</v>
      </c>
      <c r="B346" s="5" t="s">
        <v>23</v>
      </c>
      <c r="C346" s="5" t="s">
        <v>393</v>
      </c>
      <c r="D346" s="5" t="s">
        <v>393</v>
      </c>
      <c r="E346" s="5" t="s">
        <v>478</v>
      </c>
      <c r="F346" s="5" t="str" cm="1">
        <f t="array" ref="F346">_xlfn.IFS(J346&lt;3000,$O$3,J346&lt;5000,$O$4,J346&lt;10000,$O$5,J346&gt;10000,$O$6)</f>
        <v>$3.000 - $5.000</v>
      </c>
      <c r="G346" s="4" t="s">
        <v>487</v>
      </c>
      <c r="H346" s="7" t="s">
        <v>79</v>
      </c>
      <c r="I346" s="8">
        <v>3148.0625</v>
      </c>
      <c r="J346" s="9">
        <v>4880</v>
      </c>
      <c r="K346" s="9">
        <v>4392</v>
      </c>
      <c r="L346" s="10"/>
    </row>
    <row r="347" spans="1:12" ht="13" x14ac:dyDescent="0.3">
      <c r="A347" s="5" t="s">
        <v>461</v>
      </c>
      <c r="B347" s="5" t="s">
        <v>23</v>
      </c>
      <c r="C347" s="5" t="s">
        <v>393</v>
      </c>
      <c r="D347" s="5" t="s">
        <v>393</v>
      </c>
      <c r="E347" s="5" t="s">
        <v>478</v>
      </c>
      <c r="F347" s="5" t="str" cm="1">
        <f t="array" ref="F347">_xlfn.IFS(J347&lt;3000,$O$3,J347&lt;5000,$O$4,J347&lt;10000,$O$5,J347&gt;10000,$O$6)</f>
        <v>$3.000 - $5.000</v>
      </c>
      <c r="G347" s="6" t="s">
        <v>488</v>
      </c>
      <c r="H347" s="7" t="s">
        <v>79</v>
      </c>
      <c r="I347" s="8">
        <v>2896.22</v>
      </c>
      <c r="J347" s="9">
        <v>4220</v>
      </c>
      <c r="K347" s="9">
        <v>3798</v>
      </c>
      <c r="L347" s="10"/>
    </row>
    <row r="348" spans="1:12" ht="13" x14ac:dyDescent="0.3">
      <c r="A348" s="5" t="s">
        <v>461</v>
      </c>
      <c r="B348" s="5" t="s">
        <v>23</v>
      </c>
      <c r="C348" s="5" t="s">
        <v>393</v>
      </c>
      <c r="D348" s="5" t="s">
        <v>393</v>
      </c>
      <c r="E348" s="5" t="s">
        <v>478</v>
      </c>
      <c r="F348" s="5" t="str" cm="1">
        <f t="array" ref="F348">_xlfn.IFS(J348&lt;3000,$O$3,J348&lt;5000,$O$4,J348&lt;10000,$O$5,J348&gt;10000,$O$6)</f>
        <v>$5.000 - $10.000</v>
      </c>
      <c r="G348" s="4" t="s">
        <v>489</v>
      </c>
      <c r="H348" s="7" t="s">
        <v>79</v>
      </c>
      <c r="I348" s="8">
        <v>3620.2749999999996</v>
      </c>
      <c r="J348" s="9">
        <v>5550</v>
      </c>
      <c r="K348" s="9">
        <v>4995</v>
      </c>
      <c r="L348" s="10"/>
    </row>
    <row r="349" spans="1:12" ht="13" x14ac:dyDescent="0.3">
      <c r="A349" s="5" t="s">
        <v>461</v>
      </c>
      <c r="B349" s="5" t="s">
        <v>23</v>
      </c>
      <c r="C349" s="5" t="s">
        <v>393</v>
      </c>
      <c r="D349" s="5" t="s">
        <v>393</v>
      </c>
      <c r="E349" s="5" t="s">
        <v>478</v>
      </c>
      <c r="F349" s="5" t="str" cm="1">
        <f t="array" ref="F349">_xlfn.IFS(J349&lt;3000,$O$3,J349&lt;5000,$O$4,J349&lt;10000,$O$5,J349&gt;10000,$O$6)</f>
        <v>$5.000 - $10.000</v>
      </c>
      <c r="G349" s="6" t="s">
        <v>490</v>
      </c>
      <c r="H349" s="7" t="s">
        <v>79</v>
      </c>
      <c r="I349" s="8">
        <v>5127.38</v>
      </c>
      <c r="J349" s="9">
        <v>7440</v>
      </c>
      <c r="K349" s="9">
        <v>6696</v>
      </c>
      <c r="L349" s="10"/>
    </row>
    <row r="350" spans="1:12" ht="13" x14ac:dyDescent="0.3">
      <c r="A350" s="5" t="s">
        <v>461</v>
      </c>
      <c r="B350" s="5" t="s">
        <v>23</v>
      </c>
      <c r="C350" s="5" t="s">
        <v>393</v>
      </c>
      <c r="D350" s="5" t="s">
        <v>393</v>
      </c>
      <c r="E350" s="5" t="s">
        <v>478</v>
      </c>
      <c r="F350" s="5" t="str" cm="1">
        <f t="array" ref="F350">_xlfn.IFS(J350&lt;3000,$O$3,J350&lt;5000,$O$4,J350&lt;10000,$O$5,J350&gt;10000,$O$6)</f>
        <v>$5.000 - $10.000</v>
      </c>
      <c r="G350" s="4" t="s">
        <v>491</v>
      </c>
      <c r="H350" s="7" t="s">
        <v>396</v>
      </c>
      <c r="I350" s="8">
        <v>6152.8559999999998</v>
      </c>
      <c r="J350" s="9">
        <v>8880</v>
      </c>
      <c r="K350" s="9">
        <v>7992</v>
      </c>
      <c r="L350" s="10"/>
    </row>
    <row r="351" spans="1:12" ht="13" x14ac:dyDescent="0.3">
      <c r="A351" s="5" t="s">
        <v>461</v>
      </c>
      <c r="B351" s="5" t="s">
        <v>23</v>
      </c>
      <c r="C351" s="5" t="s">
        <v>393</v>
      </c>
      <c r="D351" s="5" t="s">
        <v>393</v>
      </c>
      <c r="E351" s="5" t="s">
        <v>478</v>
      </c>
      <c r="F351" s="5" t="str" cm="1">
        <f t="array" ref="F351">_xlfn.IFS(J351&lt;3000,$O$3,J351&lt;5000,$O$4,J351&lt;10000,$O$5,J351&gt;10000,$O$6)</f>
        <v>$0 a $3.000</v>
      </c>
      <c r="G351" s="4" t="s">
        <v>492</v>
      </c>
      <c r="H351" s="7" t="s">
        <v>396</v>
      </c>
      <c r="I351" s="8">
        <v>6152.8559999999998</v>
      </c>
      <c r="J351" s="9">
        <v>0</v>
      </c>
      <c r="K351" s="9">
        <v>0</v>
      </c>
      <c r="L351" s="10"/>
    </row>
    <row r="352" spans="1:12" ht="13" x14ac:dyDescent="0.3">
      <c r="A352" s="5" t="s">
        <v>461</v>
      </c>
      <c r="B352" s="5" t="s">
        <v>23</v>
      </c>
      <c r="C352" s="5" t="s">
        <v>393</v>
      </c>
      <c r="D352" s="5" t="s">
        <v>393</v>
      </c>
      <c r="E352" s="5" t="s">
        <v>478</v>
      </c>
      <c r="F352" s="5" t="str" cm="1">
        <f t="array" ref="F352">_xlfn.IFS(J352&lt;3000,$O$3,J352&lt;5000,$O$4,J352&lt;10000,$O$5,J352&gt;10000,$O$6)</f>
        <v>$0 a $3.000</v>
      </c>
      <c r="G352" s="4" t="s">
        <v>493</v>
      </c>
      <c r="H352" s="7" t="s">
        <v>79</v>
      </c>
      <c r="I352" s="8">
        <v>6409.2250000000004</v>
      </c>
      <c r="J352" s="9">
        <v>0</v>
      </c>
      <c r="K352" s="9">
        <v>0</v>
      </c>
      <c r="L352" s="10"/>
    </row>
    <row r="353" spans="1:12" ht="13" x14ac:dyDescent="0.3">
      <c r="A353" s="5" t="s">
        <v>461</v>
      </c>
      <c r="B353" s="5" t="s">
        <v>23</v>
      </c>
      <c r="C353" s="5" t="s">
        <v>393</v>
      </c>
      <c r="D353" s="5" t="s">
        <v>393</v>
      </c>
      <c r="E353" s="5" t="s">
        <v>478</v>
      </c>
      <c r="F353" s="5" t="str" cm="1">
        <f t="array" ref="F353">_xlfn.IFS(J353&lt;3000,$O$3,J353&lt;5000,$O$4,J353&lt;10000,$O$5,J353&gt;10000,$O$6)</f>
        <v>$5.000 - $10.000</v>
      </c>
      <c r="G353" s="6" t="s">
        <v>494</v>
      </c>
      <c r="H353" s="7" t="s">
        <v>79</v>
      </c>
      <c r="I353" s="8">
        <v>5282.81</v>
      </c>
      <c r="J353" s="9">
        <v>7770</v>
      </c>
      <c r="K353" s="9">
        <v>6993</v>
      </c>
      <c r="L353" s="10"/>
    </row>
    <row r="354" spans="1:12" ht="13" x14ac:dyDescent="0.3">
      <c r="A354" s="5" t="s">
        <v>461</v>
      </c>
      <c r="B354" s="5" t="s">
        <v>23</v>
      </c>
      <c r="C354" s="5" t="s">
        <v>393</v>
      </c>
      <c r="D354" s="5" t="s">
        <v>393</v>
      </c>
      <c r="E354" s="5" t="s">
        <v>478</v>
      </c>
      <c r="F354" s="5" t="str" cm="1">
        <f t="array" ref="F354">_xlfn.IFS(J354&lt;3000,$O$3,J354&lt;5000,$O$4,J354&lt;10000,$O$5,J354&gt;10000,$O$6)</f>
        <v>$5.000 - $10.000</v>
      </c>
      <c r="G354" s="4" t="s">
        <v>495</v>
      </c>
      <c r="H354" s="7" t="s">
        <v>79</v>
      </c>
      <c r="I354" s="8">
        <v>6526.1870000000008</v>
      </c>
      <c r="J354" s="9">
        <v>9440</v>
      </c>
      <c r="K354" s="9">
        <v>8496</v>
      </c>
      <c r="L354" s="10"/>
    </row>
    <row r="355" spans="1:12" ht="13" x14ac:dyDescent="0.3">
      <c r="A355" s="5" t="s">
        <v>461</v>
      </c>
      <c r="B355" s="5" t="s">
        <v>23</v>
      </c>
      <c r="C355" s="5" t="s">
        <v>393</v>
      </c>
      <c r="D355" s="5" t="s">
        <v>393</v>
      </c>
      <c r="E355" s="5" t="s">
        <v>478</v>
      </c>
      <c r="F355" s="5" t="str" cm="1">
        <f t="array" ref="F355">_xlfn.IFS(J355&lt;3000,$O$3,J355&lt;5000,$O$4,J355&lt;10000,$O$5,J355&gt;10000,$O$6)</f>
        <v>$0 a $3.000</v>
      </c>
      <c r="G355" s="4" t="s">
        <v>496</v>
      </c>
      <c r="H355" s="7" t="s">
        <v>79</v>
      </c>
      <c r="I355" s="8">
        <v>8157.7337500000012</v>
      </c>
      <c r="J355" s="9">
        <v>0</v>
      </c>
      <c r="K355" s="9">
        <v>0</v>
      </c>
      <c r="L355" s="10"/>
    </row>
    <row r="356" spans="1:12" ht="13" x14ac:dyDescent="0.3">
      <c r="A356" s="5" t="s">
        <v>461</v>
      </c>
      <c r="B356" s="5" t="s">
        <v>23</v>
      </c>
      <c r="C356" s="5" t="s">
        <v>393</v>
      </c>
      <c r="D356" s="5" t="s">
        <v>393</v>
      </c>
      <c r="E356" s="5" t="s">
        <v>478</v>
      </c>
      <c r="F356" s="5" t="str" cm="1">
        <f t="array" ref="F356">_xlfn.IFS(J356&lt;3000,$O$3,J356&lt;5000,$O$4,J356&lt;10000,$O$5,J356&gt;10000,$O$6)</f>
        <v>$10.000 en adelante</v>
      </c>
      <c r="G356" s="4" t="s">
        <v>497</v>
      </c>
      <c r="H356" s="7" t="s">
        <v>79</v>
      </c>
      <c r="I356" s="8">
        <v>8391.2570000000014</v>
      </c>
      <c r="J356" s="9">
        <v>12220</v>
      </c>
      <c r="K356" s="9">
        <v>10998</v>
      </c>
      <c r="L356" s="10"/>
    </row>
    <row r="357" spans="1:12" ht="13" x14ac:dyDescent="0.3">
      <c r="A357" s="5" t="s">
        <v>461</v>
      </c>
      <c r="B357" s="5" t="s">
        <v>23</v>
      </c>
      <c r="C357" s="5" t="s">
        <v>393</v>
      </c>
      <c r="D357" s="5" t="s">
        <v>393</v>
      </c>
      <c r="E357" s="5" t="s">
        <v>478</v>
      </c>
      <c r="F357" s="5" t="str" cm="1">
        <f t="array" ref="F357">_xlfn.IFS(J357&lt;3000,$O$3,J357&lt;5000,$O$4,J357&lt;10000,$O$5,J357&gt;10000,$O$6)</f>
        <v>$10.000 en adelante</v>
      </c>
      <c r="G357" s="4" t="s">
        <v>498</v>
      </c>
      <c r="H357" s="7" t="s">
        <v>79</v>
      </c>
      <c r="I357" s="8">
        <v>10489.071250000001</v>
      </c>
      <c r="J357" s="9">
        <v>15550</v>
      </c>
      <c r="K357" s="9">
        <v>13995</v>
      </c>
      <c r="L357" s="10"/>
    </row>
    <row r="358" spans="1:12" ht="13" x14ac:dyDescent="0.3">
      <c r="A358" s="5" t="s">
        <v>461</v>
      </c>
      <c r="B358" s="5" t="s">
        <v>23</v>
      </c>
      <c r="C358" s="5" t="s">
        <v>393</v>
      </c>
      <c r="D358" s="5" t="s">
        <v>393</v>
      </c>
      <c r="E358" s="5" t="s">
        <v>478</v>
      </c>
      <c r="F358" s="5" t="str" cm="1">
        <f t="array" ref="F358">_xlfn.IFS(J358&lt;3000,$O$3,J358&lt;5000,$O$4,J358&lt;10000,$O$5,J358&gt;10000,$O$6)</f>
        <v>$10.000 en adelante</v>
      </c>
      <c r="G358" s="4" t="s">
        <v>499</v>
      </c>
      <c r="H358" s="7" t="s">
        <v>79</v>
      </c>
      <c r="I358" s="8">
        <v>12824.984000000002</v>
      </c>
      <c r="J358" s="9">
        <v>19440</v>
      </c>
      <c r="K358" s="9">
        <v>17496</v>
      </c>
      <c r="L358" s="10"/>
    </row>
    <row r="359" spans="1:12" ht="13" x14ac:dyDescent="0.3">
      <c r="A359" s="5" t="s">
        <v>461</v>
      </c>
      <c r="B359" s="5" t="s">
        <v>23</v>
      </c>
      <c r="C359" s="5" t="s">
        <v>393</v>
      </c>
      <c r="D359" s="5" t="s">
        <v>393</v>
      </c>
      <c r="E359" s="5" t="s">
        <v>478</v>
      </c>
      <c r="F359" s="5" t="str" cm="1">
        <f t="array" ref="F359">_xlfn.IFS(J359&lt;3000,$O$3,J359&lt;5000,$O$4,J359&lt;10000,$O$5,J359&gt;10000,$O$6)</f>
        <v>$10.000 en adelante</v>
      </c>
      <c r="G359" s="4" t="s">
        <v>500</v>
      </c>
      <c r="H359" s="7" t="s">
        <v>79</v>
      </c>
      <c r="I359" s="8">
        <v>17873.567999999999</v>
      </c>
      <c r="J359" s="9">
        <v>25550</v>
      </c>
      <c r="K359" s="9">
        <v>22995</v>
      </c>
      <c r="L359" s="10"/>
    </row>
    <row r="360" spans="1:12" ht="13" x14ac:dyDescent="0.3">
      <c r="A360" s="5" t="s">
        <v>461</v>
      </c>
      <c r="B360" s="5" t="s">
        <v>23</v>
      </c>
      <c r="C360" s="5" t="s">
        <v>393</v>
      </c>
      <c r="D360" s="5" t="s">
        <v>393</v>
      </c>
      <c r="E360" s="5" t="s">
        <v>478</v>
      </c>
      <c r="F360" s="5" t="str" cm="1">
        <f t="array" ref="F360">_xlfn.IFS(J360&lt;3000,$O$3,J360&lt;5000,$O$4,J360&lt;10000,$O$5,J360&gt;10000,$O$6)</f>
        <v>$10.000 en adelante</v>
      </c>
      <c r="G360" s="4" t="s">
        <v>501</v>
      </c>
      <c r="H360" s="7" t="s">
        <v>79</v>
      </c>
      <c r="I360" s="8">
        <v>23235.6384</v>
      </c>
      <c r="J360" s="9">
        <v>33330</v>
      </c>
      <c r="K360" s="9">
        <v>29997</v>
      </c>
      <c r="L360" s="10"/>
    </row>
    <row r="361" spans="1:12" ht="13" x14ac:dyDescent="0.3">
      <c r="A361" s="5" t="s">
        <v>461</v>
      </c>
      <c r="B361" s="5" t="s">
        <v>23</v>
      </c>
      <c r="C361" s="5" t="s">
        <v>393</v>
      </c>
      <c r="D361" s="5" t="s">
        <v>393</v>
      </c>
      <c r="E361" s="5" t="s">
        <v>478</v>
      </c>
      <c r="F361" s="5" t="str" cm="1">
        <f t="array" ref="F361">_xlfn.IFS(J361&lt;3000,$O$3,J361&lt;5000,$O$4,J361&lt;10000,$O$5,J361&gt;10000,$O$6)</f>
        <v>$10.000 en adelante</v>
      </c>
      <c r="G361" s="4" t="s">
        <v>502</v>
      </c>
      <c r="H361" s="7" t="s">
        <v>79</v>
      </c>
      <c r="I361" s="8">
        <v>23235.6384</v>
      </c>
      <c r="J361" s="9">
        <v>34440</v>
      </c>
      <c r="K361" s="9">
        <v>30996</v>
      </c>
      <c r="L361" s="10"/>
    </row>
    <row r="362" spans="1:12" ht="13" x14ac:dyDescent="0.3">
      <c r="A362" s="5" t="s">
        <v>461</v>
      </c>
      <c r="B362" s="5" t="s">
        <v>23</v>
      </c>
      <c r="C362" s="5" t="s">
        <v>393</v>
      </c>
      <c r="D362" s="5" t="s">
        <v>393</v>
      </c>
      <c r="E362" s="5" t="s">
        <v>478</v>
      </c>
      <c r="F362" s="5" t="str" cm="1">
        <f t="array" ref="F362">_xlfn.IFS(J362&lt;3000,$O$3,J362&lt;5000,$O$4,J362&lt;10000,$O$5,J362&gt;10000,$O$6)</f>
        <v>$10.000 en adelante</v>
      </c>
      <c r="G362" s="4" t="s">
        <v>503</v>
      </c>
      <c r="H362" s="7" t="s">
        <v>79</v>
      </c>
      <c r="I362" s="8">
        <v>25022.995199999998</v>
      </c>
      <c r="J362" s="9">
        <v>99890</v>
      </c>
      <c r="K362" s="9">
        <v>89901</v>
      </c>
      <c r="L362" s="10"/>
    </row>
    <row r="363" spans="1:12" ht="13" x14ac:dyDescent="0.3">
      <c r="A363" s="5" t="s">
        <v>461</v>
      </c>
      <c r="B363" s="5" t="s">
        <v>23</v>
      </c>
      <c r="C363" s="5" t="s">
        <v>393</v>
      </c>
      <c r="D363" s="5" t="s">
        <v>393</v>
      </c>
      <c r="E363" s="5" t="s">
        <v>504</v>
      </c>
      <c r="F363" s="5" t="str" cm="1">
        <f t="array" ref="F363">_xlfn.IFS(J363&lt;3000,$O$3,J363&lt;5000,$O$4,J363&lt;10000,$O$5,J363&gt;10000,$O$6)</f>
        <v>$3.000 - $5.000</v>
      </c>
      <c r="G363" s="4" t="s">
        <v>505</v>
      </c>
      <c r="H363" s="7" t="s">
        <v>79</v>
      </c>
      <c r="I363" s="8">
        <v>2163</v>
      </c>
      <c r="J363" s="9">
        <v>3100</v>
      </c>
      <c r="K363" s="9">
        <v>2790</v>
      </c>
      <c r="L363" s="10"/>
    </row>
    <row r="364" spans="1:12" ht="13" x14ac:dyDescent="0.3">
      <c r="A364" s="5" t="s">
        <v>461</v>
      </c>
      <c r="B364" s="5" t="s">
        <v>23</v>
      </c>
      <c r="C364" s="5" t="s">
        <v>393</v>
      </c>
      <c r="D364" s="5" t="s">
        <v>393</v>
      </c>
      <c r="E364" s="5" t="s">
        <v>504</v>
      </c>
      <c r="F364" s="5" t="str" cm="1">
        <f t="array" ref="F364">_xlfn.IFS(J364&lt;3000,$O$3,J364&lt;5000,$O$4,J364&lt;10000,$O$5,J364&gt;10000,$O$6)</f>
        <v>$3.000 - $5.000</v>
      </c>
      <c r="G364" s="4" t="s">
        <v>506</v>
      </c>
      <c r="H364" s="7" t="s">
        <v>398</v>
      </c>
      <c r="I364" s="8">
        <v>2766</v>
      </c>
      <c r="J364" s="9">
        <v>3990</v>
      </c>
      <c r="K364" s="9">
        <v>3591</v>
      </c>
      <c r="L364" s="10"/>
    </row>
    <row r="365" spans="1:12" ht="13" x14ac:dyDescent="0.3">
      <c r="A365" s="5" t="s">
        <v>461</v>
      </c>
      <c r="B365" s="5" t="s">
        <v>23</v>
      </c>
      <c r="C365" s="5" t="s">
        <v>393</v>
      </c>
      <c r="D365" s="5" t="s">
        <v>393</v>
      </c>
      <c r="E365" s="5" t="s">
        <v>504</v>
      </c>
      <c r="F365" s="5" t="str" cm="1">
        <f t="array" ref="F365">_xlfn.IFS(J365&lt;3000,$O$3,J365&lt;5000,$O$4,J365&lt;10000,$O$5,J365&gt;10000,$O$6)</f>
        <v>$0 a $3.000</v>
      </c>
      <c r="G365" s="4" t="s">
        <v>507</v>
      </c>
      <c r="H365" s="7" t="s">
        <v>79</v>
      </c>
      <c r="I365" s="8">
        <v>3685</v>
      </c>
      <c r="J365" s="9">
        <v>0</v>
      </c>
      <c r="K365" s="9">
        <v>0</v>
      </c>
      <c r="L365" s="10"/>
    </row>
    <row r="366" spans="1:12" ht="13" x14ac:dyDescent="0.3">
      <c r="A366" s="5" t="s">
        <v>461</v>
      </c>
      <c r="B366" s="5" t="s">
        <v>23</v>
      </c>
      <c r="C366" s="5" t="s">
        <v>393</v>
      </c>
      <c r="D366" s="5" t="s">
        <v>393</v>
      </c>
      <c r="E366" s="5" t="s">
        <v>504</v>
      </c>
      <c r="F366" s="5" t="str" cm="1">
        <f t="array" ref="F366">_xlfn.IFS(J366&lt;3000,$O$3,J366&lt;5000,$O$4,J366&lt;10000,$O$5,J366&gt;10000,$O$6)</f>
        <v>$3.000 - $5.000</v>
      </c>
      <c r="G366" s="4" t="s">
        <v>508</v>
      </c>
      <c r="H366" s="7" t="s">
        <v>79</v>
      </c>
      <c r="I366" s="8">
        <v>2766</v>
      </c>
      <c r="J366" s="9">
        <v>3990</v>
      </c>
      <c r="K366" s="9">
        <v>3591</v>
      </c>
      <c r="L366" s="10"/>
    </row>
    <row r="367" spans="1:12" ht="13" x14ac:dyDescent="0.3">
      <c r="A367" s="5" t="s">
        <v>461</v>
      </c>
      <c r="B367" s="5" t="s">
        <v>23</v>
      </c>
      <c r="C367" s="5" t="s">
        <v>393</v>
      </c>
      <c r="D367" s="5" t="s">
        <v>393</v>
      </c>
      <c r="E367" s="5" t="s">
        <v>504</v>
      </c>
      <c r="F367" s="5" t="str" cm="1">
        <f t="array" ref="F367">_xlfn.IFS(J367&lt;3000,$O$3,J367&lt;5000,$O$4,J367&lt;10000,$O$5,J367&gt;10000,$O$6)</f>
        <v>$5.000 - $10.000</v>
      </c>
      <c r="G367" s="4" t="s">
        <v>509</v>
      </c>
      <c r="H367" s="7" t="s">
        <v>79</v>
      </c>
      <c r="I367" s="8">
        <v>4008</v>
      </c>
      <c r="J367" s="9">
        <v>5880</v>
      </c>
      <c r="K367" s="9">
        <v>5292</v>
      </c>
      <c r="L367" s="10"/>
    </row>
    <row r="368" spans="1:12" ht="13" x14ac:dyDescent="0.3">
      <c r="A368" s="5" t="s">
        <v>461</v>
      </c>
      <c r="B368" s="5" t="s">
        <v>23</v>
      </c>
      <c r="C368" s="5" t="s">
        <v>393</v>
      </c>
      <c r="D368" s="5" t="s">
        <v>393</v>
      </c>
      <c r="E368" s="5" t="s">
        <v>504</v>
      </c>
      <c r="F368" s="5" t="str" cm="1">
        <f t="array" ref="F368">_xlfn.IFS(J368&lt;3000,$O$3,J368&lt;5000,$O$4,J368&lt;10000,$O$5,J368&gt;10000,$O$6)</f>
        <v>$5.000 - $10.000</v>
      </c>
      <c r="G368" s="4" t="s">
        <v>510</v>
      </c>
      <c r="H368" s="7" t="s">
        <v>79</v>
      </c>
      <c r="I368" s="8">
        <v>6401</v>
      </c>
      <c r="J368" s="9">
        <v>9330</v>
      </c>
      <c r="K368" s="9">
        <v>8397</v>
      </c>
      <c r="L368" s="10"/>
    </row>
    <row r="369" spans="1:14" ht="13" x14ac:dyDescent="0.3">
      <c r="A369" s="5" t="s">
        <v>461</v>
      </c>
      <c r="B369" s="5" t="s">
        <v>23</v>
      </c>
      <c r="C369" s="5" t="s">
        <v>393</v>
      </c>
      <c r="D369" s="5" t="s">
        <v>393</v>
      </c>
      <c r="E369" s="5" t="s">
        <v>504</v>
      </c>
      <c r="F369" s="5" t="str" cm="1">
        <f t="array" ref="F369">_xlfn.IFS(J369&lt;3000,$O$3,J369&lt;5000,$O$4,J369&lt;10000,$O$5,J369&gt;10000,$O$6)</f>
        <v>$10.000 en adelante</v>
      </c>
      <c r="G369" s="4" t="s">
        <v>511</v>
      </c>
      <c r="H369" s="7" t="s">
        <v>79</v>
      </c>
      <c r="I369" s="8">
        <v>16356</v>
      </c>
      <c r="J369" s="9">
        <v>24440</v>
      </c>
      <c r="K369" s="9">
        <v>21996</v>
      </c>
      <c r="L369" s="10"/>
    </row>
    <row r="370" spans="1:14" ht="13" x14ac:dyDescent="0.3">
      <c r="A370" s="5" t="s">
        <v>461</v>
      </c>
      <c r="B370" s="5" t="s">
        <v>512</v>
      </c>
      <c r="C370" s="5" t="s">
        <v>393</v>
      </c>
      <c r="D370" s="5" t="s">
        <v>393</v>
      </c>
      <c r="E370" s="5" t="s">
        <v>513</v>
      </c>
      <c r="F370" s="5" t="str" cm="1">
        <f t="array" ref="F370">_xlfn.IFS(J370&lt;3000,$O$3,J370&lt;5000,$O$4,J370&lt;10000,$O$5,J370&gt;10000,$O$6)</f>
        <v>$5.000 - $10.000</v>
      </c>
      <c r="G370" s="4" t="s">
        <v>514</v>
      </c>
      <c r="H370" s="7" t="s">
        <v>79</v>
      </c>
      <c r="I370" s="8">
        <v>3837</v>
      </c>
      <c r="J370" s="9">
        <v>5550</v>
      </c>
      <c r="K370" s="9">
        <v>4995</v>
      </c>
      <c r="L370" s="10"/>
    </row>
    <row r="371" spans="1:14" ht="13" x14ac:dyDescent="0.3">
      <c r="A371" s="5" t="s">
        <v>461</v>
      </c>
      <c r="B371" s="5" t="s">
        <v>512</v>
      </c>
      <c r="C371" s="5" t="s">
        <v>393</v>
      </c>
      <c r="D371" s="5" t="s">
        <v>393</v>
      </c>
      <c r="E371" s="5" t="s">
        <v>515</v>
      </c>
      <c r="F371" s="5" t="str" cm="1">
        <f t="array" ref="F371">_xlfn.IFS(J371&lt;3000,$O$3,J371&lt;5000,$O$4,J371&lt;10000,$O$5,J371&gt;10000,$O$6)</f>
        <v>$5.000 - $10.000</v>
      </c>
      <c r="G371" s="4" t="s">
        <v>516</v>
      </c>
      <c r="H371" s="7" t="s">
        <v>79</v>
      </c>
      <c r="I371" s="8">
        <v>3375.11</v>
      </c>
      <c r="J371" s="9">
        <v>5330</v>
      </c>
      <c r="K371" s="9">
        <v>4797</v>
      </c>
      <c r="L371" s="10"/>
    </row>
    <row r="372" spans="1:14" ht="13" x14ac:dyDescent="0.3">
      <c r="A372" s="5" t="s">
        <v>461</v>
      </c>
      <c r="B372" s="5" t="s">
        <v>512</v>
      </c>
      <c r="C372" s="5" t="s">
        <v>393</v>
      </c>
      <c r="D372" s="5" t="s">
        <v>393</v>
      </c>
      <c r="E372" s="5" t="s">
        <v>515</v>
      </c>
      <c r="F372" s="5" t="str" cm="1">
        <f t="array" ref="F372">_xlfn.IFS(J372&lt;3000,$O$3,J372&lt;5000,$O$4,J372&lt;10000,$O$5,J372&gt;10000,$O$6)</f>
        <v>$5.000 - $10.000</v>
      </c>
      <c r="G372" s="4" t="s">
        <v>517</v>
      </c>
      <c r="H372" s="7" t="s">
        <v>79</v>
      </c>
      <c r="I372" s="8">
        <v>3512.6519999999996</v>
      </c>
      <c r="J372" s="9">
        <v>5550</v>
      </c>
      <c r="K372" s="9">
        <v>4995</v>
      </c>
      <c r="L372" s="10"/>
    </row>
    <row r="373" spans="1:14" ht="13" x14ac:dyDescent="0.3">
      <c r="A373" s="5" t="s">
        <v>461</v>
      </c>
      <c r="B373" s="5" t="s">
        <v>512</v>
      </c>
      <c r="C373" s="5" t="s">
        <v>393</v>
      </c>
      <c r="D373" s="5" t="s">
        <v>393</v>
      </c>
      <c r="E373" s="5" t="s">
        <v>515</v>
      </c>
      <c r="F373" s="5" t="str" cm="1">
        <f t="array" ref="F373">_xlfn.IFS(J373&lt;3000,$O$3,J373&lt;5000,$O$4,J373&lt;10000,$O$5,J373&gt;10000,$O$6)</f>
        <v>$10.000 en adelante</v>
      </c>
      <c r="G373" s="4" t="s">
        <v>518</v>
      </c>
      <c r="H373" s="7" t="s">
        <v>79</v>
      </c>
      <c r="I373" s="8">
        <v>7008</v>
      </c>
      <c r="J373" s="9">
        <v>10550</v>
      </c>
      <c r="K373" s="9">
        <v>9495</v>
      </c>
      <c r="L373" s="10"/>
    </row>
    <row r="374" spans="1:14" ht="13" x14ac:dyDescent="0.3">
      <c r="A374" s="5" t="s">
        <v>461</v>
      </c>
      <c r="B374" s="5" t="s">
        <v>512</v>
      </c>
      <c r="C374" s="5" t="s">
        <v>393</v>
      </c>
      <c r="D374" s="5" t="s">
        <v>393</v>
      </c>
      <c r="E374" s="5" t="s">
        <v>515</v>
      </c>
      <c r="F374" s="5" t="str" cm="1">
        <f t="array" ref="F374">_xlfn.IFS(J374&lt;3000,$O$3,J374&lt;5000,$O$4,J374&lt;10000,$O$5,J374&gt;10000,$O$6)</f>
        <v>$0 a $3.000</v>
      </c>
      <c r="G374" s="4" t="s">
        <v>519</v>
      </c>
      <c r="H374" s="7" t="s">
        <v>79</v>
      </c>
      <c r="I374" s="8">
        <v>9066</v>
      </c>
      <c r="J374" s="9">
        <v>0</v>
      </c>
      <c r="K374" s="9">
        <v>0</v>
      </c>
      <c r="L374" s="10"/>
    </row>
    <row r="375" spans="1:14" ht="13" x14ac:dyDescent="0.3">
      <c r="A375" s="5" t="s">
        <v>461</v>
      </c>
      <c r="B375" s="5" t="s">
        <v>512</v>
      </c>
      <c r="C375" s="5" t="s">
        <v>393</v>
      </c>
      <c r="D375" s="5" t="s">
        <v>393</v>
      </c>
      <c r="E375" s="5" t="s">
        <v>520</v>
      </c>
      <c r="F375" s="5" t="str" cm="1">
        <f t="array" ref="F375">_xlfn.IFS(J375&lt;3000,$O$3,J375&lt;5000,$O$4,J375&lt;10000,$O$5,J375&gt;10000,$O$6)</f>
        <v>$10.000 en adelante</v>
      </c>
      <c r="G375" s="4" t="s">
        <v>521</v>
      </c>
      <c r="H375" s="7" t="s">
        <v>79</v>
      </c>
      <c r="I375" s="8">
        <v>8619</v>
      </c>
      <c r="J375" s="9">
        <v>12770</v>
      </c>
      <c r="K375" s="9">
        <v>11493</v>
      </c>
      <c r="L375" s="10"/>
    </row>
    <row r="376" spans="1:14" ht="13" x14ac:dyDescent="0.3">
      <c r="A376" s="5" t="s">
        <v>461</v>
      </c>
      <c r="B376" s="5" t="s">
        <v>512</v>
      </c>
      <c r="C376" s="5" t="s">
        <v>393</v>
      </c>
      <c r="D376" s="5" t="s">
        <v>393</v>
      </c>
      <c r="E376" s="5" t="s">
        <v>520</v>
      </c>
      <c r="F376" s="5" t="str" cm="1">
        <f t="array" ref="F376">_xlfn.IFS(J376&lt;3000,$O$3,J376&lt;5000,$O$4,J376&lt;10000,$O$5,J376&gt;10000,$O$6)</f>
        <v>$10.000 en adelante</v>
      </c>
      <c r="G376" s="4" t="s">
        <v>522</v>
      </c>
      <c r="H376" s="7" t="s">
        <v>79</v>
      </c>
      <c r="I376" s="8">
        <v>10932</v>
      </c>
      <c r="J376" s="9">
        <v>16100</v>
      </c>
      <c r="K376" s="9">
        <v>14490</v>
      </c>
      <c r="L376" s="10"/>
    </row>
    <row r="377" spans="1:14" ht="13" x14ac:dyDescent="0.3">
      <c r="A377" s="5" t="s">
        <v>461</v>
      </c>
      <c r="B377" s="5" t="s">
        <v>512</v>
      </c>
      <c r="C377" s="5" t="s">
        <v>393</v>
      </c>
      <c r="D377" s="5" t="s">
        <v>393</v>
      </c>
      <c r="E377" s="5" t="s">
        <v>523</v>
      </c>
      <c r="F377" s="5" t="str" cm="1">
        <f t="array" ref="F377">_xlfn.IFS(J377&lt;3000,$O$3,J377&lt;5000,$O$4,J377&lt;10000,$O$5,J377&gt;10000,$O$6)</f>
        <v>$5.000 - $10.000</v>
      </c>
      <c r="G377" s="4" t="s">
        <v>524</v>
      </c>
      <c r="H377" s="7" t="s">
        <v>79</v>
      </c>
      <c r="I377" s="8">
        <v>5076.0490000000009</v>
      </c>
      <c r="J377" s="9">
        <v>7220</v>
      </c>
      <c r="K377" s="9">
        <v>6498</v>
      </c>
      <c r="L377" s="10"/>
    </row>
    <row r="378" spans="1:14" ht="13" x14ac:dyDescent="0.3">
      <c r="A378" s="5" t="s">
        <v>461</v>
      </c>
      <c r="B378" s="5" t="s">
        <v>512</v>
      </c>
      <c r="C378" s="5" t="s">
        <v>393</v>
      </c>
      <c r="D378" s="5" t="s">
        <v>393</v>
      </c>
      <c r="E378" s="5" t="s">
        <v>523</v>
      </c>
      <c r="F378" s="5" t="str" cm="1">
        <f t="array" ref="F378">_xlfn.IFS(J378&lt;3000,$O$3,J378&lt;5000,$O$4,J378&lt;10000,$O$5,J378&gt;10000,$O$6)</f>
        <v>$0 a $3.000</v>
      </c>
      <c r="G378" s="4" t="s">
        <v>525</v>
      </c>
      <c r="H378" s="7" t="s">
        <v>79</v>
      </c>
      <c r="I378" s="8">
        <v>8812.629262800001</v>
      </c>
      <c r="J378" s="9">
        <v>0</v>
      </c>
      <c r="K378" s="9">
        <v>0</v>
      </c>
      <c r="L378" s="10"/>
    </row>
    <row r="379" spans="1:14" ht="13" x14ac:dyDescent="0.3">
      <c r="A379" s="5" t="s">
        <v>461</v>
      </c>
      <c r="B379" s="5" t="s">
        <v>512</v>
      </c>
      <c r="C379" s="5" t="s">
        <v>393</v>
      </c>
      <c r="D379" s="5" t="s">
        <v>393</v>
      </c>
      <c r="E379" s="5" t="s">
        <v>523</v>
      </c>
      <c r="F379" s="5" t="str" cm="1">
        <f t="array" ref="F379">_xlfn.IFS(J379&lt;3000,$O$3,J379&lt;5000,$O$4,J379&lt;10000,$O$5,J379&gt;10000,$O$6)</f>
        <v>$0 a $3.000</v>
      </c>
      <c r="G379" s="4" t="s">
        <v>526</v>
      </c>
      <c r="H379" s="7" t="s">
        <v>79</v>
      </c>
      <c r="I379" s="8">
        <v>16143.732000000002</v>
      </c>
      <c r="J379" s="9">
        <v>0</v>
      </c>
      <c r="K379" s="9">
        <v>0</v>
      </c>
      <c r="L379" s="10"/>
    </row>
    <row r="380" spans="1:14" ht="13" x14ac:dyDescent="0.3">
      <c r="A380" s="5" t="s">
        <v>461</v>
      </c>
      <c r="B380" s="5" t="s">
        <v>512</v>
      </c>
      <c r="C380" s="5" t="s">
        <v>393</v>
      </c>
      <c r="D380" s="5" t="s">
        <v>393</v>
      </c>
      <c r="E380" s="5" t="s">
        <v>523</v>
      </c>
      <c r="F380" s="5" t="str" cm="1">
        <f t="array" ref="F380">_xlfn.IFS(J380&lt;3000,$O$3,J380&lt;5000,$O$4,J380&lt;10000,$O$5,J380&gt;10000,$O$6)</f>
        <v>$10.000 en adelante</v>
      </c>
      <c r="G380" s="4" t="s">
        <v>527</v>
      </c>
      <c r="H380" s="7" t="s">
        <v>528</v>
      </c>
      <c r="I380" s="8">
        <v>7410</v>
      </c>
      <c r="J380" s="9">
        <v>14440</v>
      </c>
      <c r="K380" s="9">
        <v>12996</v>
      </c>
      <c r="L380" s="10"/>
      <c r="N380" s="15"/>
    </row>
    <row r="381" spans="1:14" ht="13" x14ac:dyDescent="0.3">
      <c r="A381" s="5" t="s">
        <v>461</v>
      </c>
      <c r="B381" s="5" t="s">
        <v>512</v>
      </c>
      <c r="C381" s="5" t="s">
        <v>393</v>
      </c>
      <c r="D381" s="5" t="s">
        <v>393</v>
      </c>
      <c r="E381" s="5" t="s">
        <v>529</v>
      </c>
      <c r="F381" s="5" t="str" cm="1">
        <f t="array" ref="F381">_xlfn.IFS(J381&lt;3000,$O$3,J381&lt;5000,$O$4,J381&lt;10000,$O$5,J381&gt;10000,$O$6)</f>
        <v>$5.000 - $10.000</v>
      </c>
      <c r="G381" s="4" t="s">
        <v>530</v>
      </c>
      <c r="H381" s="7" t="s">
        <v>79</v>
      </c>
      <c r="I381" s="8">
        <v>5289</v>
      </c>
      <c r="J381" s="9">
        <v>7770</v>
      </c>
      <c r="K381" s="9">
        <v>6993</v>
      </c>
      <c r="L381" s="10"/>
    </row>
    <row r="382" spans="1:14" ht="13" x14ac:dyDescent="0.3">
      <c r="A382" s="5" t="s">
        <v>461</v>
      </c>
      <c r="B382" s="5" t="s">
        <v>512</v>
      </c>
      <c r="C382" s="5" t="s">
        <v>393</v>
      </c>
      <c r="D382" s="5" t="s">
        <v>393</v>
      </c>
      <c r="E382" s="5" t="s">
        <v>531</v>
      </c>
      <c r="F382" s="5" t="str" cm="1">
        <f t="array" ref="F382">_xlfn.IFS(J382&lt;3000,$O$3,J382&lt;5000,$O$4,J382&lt;10000,$O$5,J382&gt;10000,$O$6)</f>
        <v>$0 a $3.000</v>
      </c>
      <c r="G382" s="4" t="s">
        <v>532</v>
      </c>
      <c r="H382" s="7" t="s">
        <v>79</v>
      </c>
      <c r="I382" s="8">
        <v>5240.2463999999991</v>
      </c>
      <c r="J382" s="9">
        <v>0</v>
      </c>
      <c r="K382" s="9">
        <v>0</v>
      </c>
      <c r="L382" s="10"/>
    </row>
    <row r="383" spans="1:14" ht="13" x14ac:dyDescent="0.3">
      <c r="A383" s="5" t="s">
        <v>461</v>
      </c>
      <c r="B383" s="5" t="s">
        <v>512</v>
      </c>
      <c r="C383" s="5" t="s">
        <v>393</v>
      </c>
      <c r="D383" s="5" t="s">
        <v>393</v>
      </c>
      <c r="E383" s="5" t="s">
        <v>533</v>
      </c>
      <c r="F383" s="5" t="str" cm="1">
        <f t="array" ref="F383">_xlfn.IFS(J383&lt;3000,$O$3,J383&lt;5000,$O$4,J383&lt;10000,$O$5,J383&gt;10000,$O$6)</f>
        <v>$10.000 en adelante</v>
      </c>
      <c r="G383" s="4" t="s">
        <v>706</v>
      </c>
      <c r="H383" s="7" t="s">
        <v>79</v>
      </c>
      <c r="I383" s="8">
        <v>9000</v>
      </c>
      <c r="J383" s="9">
        <v>13880</v>
      </c>
      <c r="K383" s="9">
        <v>12492</v>
      </c>
      <c r="L383" s="10"/>
    </row>
    <row r="384" spans="1:14" ht="13" x14ac:dyDescent="0.3">
      <c r="A384" s="5" t="s">
        <v>461</v>
      </c>
      <c r="B384" s="5" t="s">
        <v>512</v>
      </c>
      <c r="C384" s="5" t="s">
        <v>393</v>
      </c>
      <c r="D384" s="5" t="s">
        <v>393</v>
      </c>
      <c r="E384" s="5" t="s">
        <v>533</v>
      </c>
      <c r="F384" s="5" t="str" cm="1">
        <f t="array" ref="F384">_xlfn.IFS(J384&lt;3000,$O$3,J384&lt;5000,$O$4,J384&lt;10000,$O$5,J384&gt;10000,$O$6)</f>
        <v>$10.000 en adelante</v>
      </c>
      <c r="G384" s="4" t="s">
        <v>707</v>
      </c>
      <c r="H384" s="7" t="s">
        <v>79</v>
      </c>
      <c r="I384" s="8">
        <v>8900</v>
      </c>
      <c r="J384" s="9">
        <v>13330</v>
      </c>
      <c r="K384" s="9">
        <v>11997</v>
      </c>
      <c r="L384" s="10"/>
    </row>
    <row r="385" spans="1:12" ht="13" x14ac:dyDescent="0.3">
      <c r="A385" s="5" t="s">
        <v>461</v>
      </c>
      <c r="B385" s="5" t="s">
        <v>512</v>
      </c>
      <c r="C385" s="5" t="s">
        <v>393</v>
      </c>
      <c r="D385" s="5" t="s">
        <v>393</v>
      </c>
      <c r="E385" s="5" t="s">
        <v>533</v>
      </c>
      <c r="F385" s="5" t="str" cm="1">
        <f t="array" ref="F385">_xlfn.IFS(J385&lt;3000,$O$3,J385&lt;5000,$O$4,J385&lt;10000,$O$5,J385&gt;10000,$O$6)</f>
        <v>$10.000 en adelante</v>
      </c>
      <c r="G385" s="4" t="s">
        <v>708</v>
      </c>
      <c r="H385" s="7" t="s">
        <v>79</v>
      </c>
      <c r="I385" s="8">
        <v>37300</v>
      </c>
      <c r="J385" s="9">
        <v>58880</v>
      </c>
      <c r="K385" s="9">
        <v>52992</v>
      </c>
      <c r="L385" s="10"/>
    </row>
    <row r="386" spans="1:12" ht="13" x14ac:dyDescent="0.3">
      <c r="A386" s="5" t="s">
        <v>461</v>
      </c>
      <c r="B386" s="5" t="s">
        <v>512</v>
      </c>
      <c r="C386" s="5" t="s">
        <v>393</v>
      </c>
      <c r="D386" s="5" t="s">
        <v>393</v>
      </c>
      <c r="E386" s="5" t="s">
        <v>533</v>
      </c>
      <c r="F386" s="5" t="str" cm="1">
        <f t="array" ref="F386">_xlfn.IFS(J386&lt;3000,$O$3,J386&lt;5000,$O$4,J386&lt;10000,$O$5,J386&gt;10000,$O$6)</f>
        <v>$10.000 en adelante</v>
      </c>
      <c r="G386" s="4" t="s">
        <v>709</v>
      </c>
      <c r="H386" s="7" t="s">
        <v>79</v>
      </c>
      <c r="I386" s="8">
        <v>41500</v>
      </c>
      <c r="J386" s="9">
        <v>66660</v>
      </c>
      <c r="K386" s="9">
        <v>59994</v>
      </c>
      <c r="L386" s="10"/>
    </row>
    <row r="387" spans="1:12" ht="13" x14ac:dyDescent="0.3">
      <c r="A387" s="5" t="s">
        <v>461</v>
      </c>
      <c r="B387" s="5" t="s">
        <v>512</v>
      </c>
      <c r="C387" s="5" t="s">
        <v>393</v>
      </c>
      <c r="D387" s="5" t="s">
        <v>393</v>
      </c>
      <c r="E387" s="5" t="s">
        <v>534</v>
      </c>
      <c r="F387" s="5" t="str" cm="1">
        <f t="array" ref="F387">_xlfn.IFS(J387&lt;3000,$O$3,J387&lt;5000,$O$4,J387&lt;10000,$O$5,J387&gt;10000,$O$6)</f>
        <v>$10.000 en adelante</v>
      </c>
      <c r="G387" s="4" t="s">
        <v>535</v>
      </c>
      <c r="H387" s="7" t="s">
        <v>79</v>
      </c>
      <c r="I387" s="8">
        <v>9216</v>
      </c>
      <c r="J387" s="9">
        <v>12770</v>
      </c>
      <c r="K387" s="9">
        <v>11493</v>
      </c>
      <c r="L387" s="10"/>
    </row>
    <row r="388" spans="1:12" ht="13" x14ac:dyDescent="0.3">
      <c r="A388" s="5" t="s">
        <v>461</v>
      </c>
      <c r="B388" s="5" t="s">
        <v>512</v>
      </c>
      <c r="C388" s="5" t="s">
        <v>393</v>
      </c>
      <c r="D388" s="5" t="s">
        <v>393</v>
      </c>
      <c r="E388" s="5" t="s">
        <v>536</v>
      </c>
      <c r="F388" s="5" t="str" cm="1">
        <f t="array" ref="F388">_xlfn.IFS(J388&lt;3000,$O$3,J388&lt;5000,$O$4,J388&lt;10000,$O$5,J388&gt;10000,$O$6)</f>
        <v>$3.000 - $5.000</v>
      </c>
      <c r="G388" s="4" t="s">
        <v>537</v>
      </c>
      <c r="H388" s="7" t="s">
        <v>396</v>
      </c>
      <c r="I388" s="8">
        <v>3191.6919999999996</v>
      </c>
      <c r="J388" s="9">
        <v>4660</v>
      </c>
      <c r="K388" s="9">
        <v>4194</v>
      </c>
      <c r="L388" s="10"/>
    </row>
    <row r="389" spans="1:12" ht="13" x14ac:dyDescent="0.3">
      <c r="A389" s="5" t="s">
        <v>461</v>
      </c>
      <c r="B389" s="5" t="s">
        <v>512</v>
      </c>
      <c r="C389" s="5" t="s">
        <v>393</v>
      </c>
      <c r="D389" s="5" t="s">
        <v>393</v>
      </c>
      <c r="E389" s="5" t="s">
        <v>536</v>
      </c>
      <c r="F389" s="5" t="str" cm="1">
        <f t="array" ref="F389">_xlfn.IFS(J389&lt;3000,$O$3,J389&lt;5000,$O$4,J389&lt;10000,$O$5,J389&gt;10000,$O$6)</f>
        <v>$5.000 - $10.000</v>
      </c>
      <c r="G389" s="4" t="s">
        <v>538</v>
      </c>
      <c r="H389" s="7" t="s">
        <v>396</v>
      </c>
      <c r="I389" s="8">
        <v>4787.5529999999999</v>
      </c>
      <c r="J389" s="9">
        <v>6990</v>
      </c>
      <c r="K389" s="9">
        <v>6291</v>
      </c>
      <c r="L389" s="10"/>
    </row>
    <row r="390" spans="1:12" ht="13" x14ac:dyDescent="0.3">
      <c r="A390" s="5" t="s">
        <v>461</v>
      </c>
      <c r="B390" s="5" t="s">
        <v>512</v>
      </c>
      <c r="C390" s="5" t="s">
        <v>393</v>
      </c>
      <c r="D390" s="5" t="s">
        <v>393</v>
      </c>
      <c r="E390" s="5" t="s">
        <v>536</v>
      </c>
      <c r="F390" s="5" t="str" cm="1">
        <f t="array" ref="F390">_xlfn.IFS(J390&lt;3000,$O$3,J390&lt;5000,$O$4,J390&lt;10000,$O$5,J390&gt;10000,$O$6)</f>
        <v>$10.000 en adelante</v>
      </c>
      <c r="G390" s="4" t="s">
        <v>539</v>
      </c>
      <c r="H390" s="7" t="s">
        <v>396</v>
      </c>
      <c r="I390" s="8">
        <v>7181.3280000000013</v>
      </c>
      <c r="J390" s="9">
        <v>10440</v>
      </c>
      <c r="K390" s="9">
        <v>9396</v>
      </c>
      <c r="L390" s="10"/>
    </row>
    <row r="391" spans="1:12" ht="13" x14ac:dyDescent="0.3">
      <c r="A391" s="5" t="s">
        <v>461</v>
      </c>
      <c r="B391" s="5" t="s">
        <v>512</v>
      </c>
      <c r="C391" s="5" t="s">
        <v>393</v>
      </c>
      <c r="D391" s="5" t="s">
        <v>393</v>
      </c>
      <c r="E391" s="5" t="s">
        <v>540</v>
      </c>
      <c r="F391" s="5" t="str" cm="1">
        <f t="array" ref="F391">_xlfn.IFS(J391&lt;3000,$O$3,J391&lt;5000,$O$4,J391&lt;10000,$O$5,J391&gt;10000,$O$6)</f>
        <v>$5.000 - $10.000</v>
      </c>
      <c r="G391" s="4" t="s">
        <v>541</v>
      </c>
      <c r="H391" s="7" t="s">
        <v>396</v>
      </c>
      <c r="I391" s="8">
        <v>5106.7246507518821</v>
      </c>
      <c r="J391" s="9">
        <v>7770</v>
      </c>
      <c r="K391" s="9">
        <v>6993</v>
      </c>
      <c r="L391" s="10"/>
    </row>
    <row r="392" spans="1:12" ht="13" x14ac:dyDescent="0.3">
      <c r="A392" s="5" t="s">
        <v>461</v>
      </c>
      <c r="B392" s="5" t="s">
        <v>512</v>
      </c>
      <c r="C392" s="5" t="s">
        <v>393</v>
      </c>
      <c r="D392" s="5" t="s">
        <v>393</v>
      </c>
      <c r="E392" s="5" t="s">
        <v>542</v>
      </c>
      <c r="F392" s="5" t="str" cm="1">
        <f t="array" ref="F392">_xlfn.IFS(J392&lt;3000,$O$3,J392&lt;5000,$O$4,J392&lt;10000,$O$5,J392&gt;10000,$O$6)</f>
        <v>$5.000 - $10.000</v>
      </c>
      <c r="G392" s="4" t="s">
        <v>543</v>
      </c>
      <c r="H392" s="7" t="s">
        <v>396</v>
      </c>
      <c r="I392" s="8">
        <v>5425.898000000002</v>
      </c>
      <c r="J392" s="9">
        <v>8100</v>
      </c>
      <c r="K392" s="9">
        <v>7290</v>
      </c>
      <c r="L392" s="10"/>
    </row>
    <row r="393" spans="1:12" ht="13" x14ac:dyDescent="0.3">
      <c r="A393" s="5" t="s">
        <v>461</v>
      </c>
      <c r="B393" s="5" t="s">
        <v>512</v>
      </c>
      <c r="C393" s="5" t="s">
        <v>393</v>
      </c>
      <c r="D393" s="5" t="s">
        <v>393</v>
      </c>
      <c r="E393" s="5" t="s">
        <v>544</v>
      </c>
      <c r="F393" s="5" t="str" cm="1">
        <f t="array" ref="F393">_xlfn.IFS(J393&lt;3000,$O$3,J393&lt;5000,$O$4,J393&lt;10000,$O$5,J393&gt;10000,$O$6)</f>
        <v>$5.000 - $10.000</v>
      </c>
      <c r="G393" s="4" t="s">
        <v>545</v>
      </c>
      <c r="H393" s="7" t="s">
        <v>396</v>
      </c>
      <c r="I393" s="8">
        <v>5425.898000000002</v>
      </c>
      <c r="J393" s="9">
        <v>8100</v>
      </c>
      <c r="K393" s="9">
        <v>7290</v>
      </c>
      <c r="L393" s="10"/>
    </row>
    <row r="394" spans="1:12" ht="13" x14ac:dyDescent="0.3">
      <c r="A394" s="5" t="s">
        <v>461</v>
      </c>
      <c r="B394" s="5" t="s">
        <v>512</v>
      </c>
      <c r="C394" s="5" t="s">
        <v>393</v>
      </c>
      <c r="D394" s="5" t="s">
        <v>393</v>
      </c>
      <c r="E394" s="5" t="s">
        <v>546</v>
      </c>
      <c r="F394" s="5" t="str" cm="1">
        <f t="array" ref="F394">_xlfn.IFS(J394&lt;3000,$O$3,J394&lt;5000,$O$4,J394&lt;10000,$O$5,J394&gt;10000,$O$6)</f>
        <v>$5.000 - $10.000</v>
      </c>
      <c r="G394" s="4" t="s">
        <v>547</v>
      </c>
      <c r="H394" s="7" t="s">
        <v>79</v>
      </c>
      <c r="I394" s="8">
        <v>5425.898000000002</v>
      </c>
      <c r="J394" s="9">
        <v>8100</v>
      </c>
      <c r="K394" s="9">
        <v>7290</v>
      </c>
      <c r="L394" s="10"/>
    </row>
    <row r="395" spans="1:12" ht="13" x14ac:dyDescent="0.3">
      <c r="A395" s="5" t="s">
        <v>461</v>
      </c>
      <c r="B395" s="5" t="s">
        <v>512</v>
      </c>
      <c r="C395" s="5" t="s">
        <v>393</v>
      </c>
      <c r="D395" s="5" t="s">
        <v>393</v>
      </c>
      <c r="E395" s="5" t="s">
        <v>548</v>
      </c>
      <c r="F395" s="5" t="str" cm="1">
        <f t="array" ref="F395">_xlfn.IFS(J395&lt;3000,$O$3,J395&lt;5000,$O$4,J395&lt;10000,$O$5,J395&gt;10000,$O$6)</f>
        <v>$5.000 - $10.000</v>
      </c>
      <c r="G395" s="4" t="s">
        <v>549</v>
      </c>
      <c r="H395" s="7" t="s">
        <v>79</v>
      </c>
      <c r="I395" s="8">
        <v>5425.898000000002</v>
      </c>
      <c r="J395" s="9">
        <v>8100</v>
      </c>
      <c r="K395" s="9">
        <v>7290</v>
      </c>
      <c r="L395" s="10"/>
    </row>
    <row r="396" spans="1:12" ht="13" x14ac:dyDescent="0.3">
      <c r="A396" s="5" t="s">
        <v>461</v>
      </c>
      <c r="B396" s="5" t="s">
        <v>512</v>
      </c>
      <c r="C396" s="5" t="s">
        <v>393</v>
      </c>
      <c r="D396" s="5" t="s">
        <v>393</v>
      </c>
      <c r="E396" s="5" t="s">
        <v>550</v>
      </c>
      <c r="F396" s="5" t="str" cm="1">
        <f t="array" ref="F396">_xlfn.IFS(J396&lt;3000,$O$3,J396&lt;5000,$O$4,J396&lt;10000,$O$5,J396&gt;10000,$O$6)</f>
        <v>$5.000 - $10.000</v>
      </c>
      <c r="G396" s="4" t="s">
        <v>551</v>
      </c>
      <c r="H396" s="7" t="s">
        <v>79</v>
      </c>
      <c r="I396" s="8">
        <v>5425.898000000002</v>
      </c>
      <c r="J396" s="9">
        <v>8100</v>
      </c>
      <c r="K396" s="9">
        <v>7290</v>
      </c>
      <c r="L396" s="10"/>
    </row>
    <row r="397" spans="1:12" ht="13" x14ac:dyDescent="0.3">
      <c r="A397" s="5" t="s">
        <v>461</v>
      </c>
      <c r="B397" s="5" t="s">
        <v>512</v>
      </c>
      <c r="C397" s="5" t="s">
        <v>393</v>
      </c>
      <c r="D397" s="5" t="s">
        <v>393</v>
      </c>
      <c r="E397" s="5" t="s">
        <v>552</v>
      </c>
      <c r="F397" s="5" t="str" cm="1">
        <f t="array" ref="F397">_xlfn.IFS(J397&lt;3000,$O$3,J397&lt;5000,$O$4,J397&lt;10000,$O$5,J397&gt;10000,$O$6)</f>
        <v>$5.000 - $10.000</v>
      </c>
      <c r="G397" s="4" t="s">
        <v>553</v>
      </c>
      <c r="H397" s="7" t="s">
        <v>79</v>
      </c>
      <c r="I397" s="8">
        <v>5745.0672104465966</v>
      </c>
      <c r="J397" s="9">
        <v>8770</v>
      </c>
      <c r="K397" s="9">
        <v>7893</v>
      </c>
      <c r="L397" s="10"/>
    </row>
    <row r="398" spans="1:12" ht="13" x14ac:dyDescent="0.3">
      <c r="A398" s="5" t="s">
        <v>554</v>
      </c>
      <c r="B398" s="5" t="s">
        <v>10</v>
      </c>
      <c r="C398" s="5" t="s">
        <v>393</v>
      </c>
      <c r="D398" s="5" t="s">
        <v>393</v>
      </c>
      <c r="E398" s="5" t="s">
        <v>393</v>
      </c>
      <c r="F398" s="5" t="str" cm="1">
        <f t="array" ref="F398">_xlfn.IFS(J398&lt;3000,$Q$3,J398&lt;5000,$Q$4,J398&lt;10000,$Q$5,J398&gt;=10000,$Q$6)</f>
        <v>$3.000 - $5.000</v>
      </c>
      <c r="G398" s="16" t="s">
        <v>555</v>
      </c>
      <c r="H398" s="7" t="s">
        <v>556</v>
      </c>
      <c r="I398" s="8">
        <v>2511.120727272727</v>
      </c>
      <c r="J398" s="9">
        <v>4120</v>
      </c>
      <c r="K398" s="9">
        <v>3708</v>
      </c>
      <c r="L398" s="10"/>
    </row>
    <row r="399" spans="1:12" ht="13" x14ac:dyDescent="0.3">
      <c r="A399" s="5" t="s">
        <v>554</v>
      </c>
      <c r="B399" s="5" t="s">
        <v>10</v>
      </c>
      <c r="C399" s="5" t="s">
        <v>393</v>
      </c>
      <c r="D399" s="5" t="s">
        <v>393</v>
      </c>
      <c r="E399" s="5" t="s">
        <v>393</v>
      </c>
      <c r="F399" s="5" t="str" cm="1">
        <f t="array" ref="F399">_xlfn.IFS(J399&lt;3000,$Q$3,J399&lt;5000,$Q$4,J399&lt;10000,$Q$5,J399&gt;=10000,$Q$6)</f>
        <v>$5.000 - $10.000</v>
      </c>
      <c r="G399" s="16" t="s">
        <v>557</v>
      </c>
      <c r="H399" s="7" t="s">
        <v>556</v>
      </c>
      <c r="I399" s="8">
        <v>4254.22</v>
      </c>
      <c r="J399" s="9">
        <v>6780</v>
      </c>
      <c r="K399" s="9">
        <v>6102</v>
      </c>
      <c r="L399" s="10"/>
    </row>
    <row r="400" spans="1:12" ht="13" x14ac:dyDescent="0.3">
      <c r="A400" s="5" t="s">
        <v>554</v>
      </c>
      <c r="B400" s="5" t="s">
        <v>10</v>
      </c>
      <c r="C400" s="5" t="s">
        <v>393</v>
      </c>
      <c r="D400" s="5" t="s">
        <v>393</v>
      </c>
      <c r="E400" s="5" t="s">
        <v>393</v>
      </c>
      <c r="F400" s="5" t="str" cm="1">
        <f t="array" ref="F400">_xlfn.IFS(J400&lt;3000,$Q$3,J400&lt;5000,$Q$4,J400&lt;10000,$Q$5,J400&gt;=10000,$Q$6)</f>
        <v>$3.000 - $5.000</v>
      </c>
      <c r="G400" s="16" t="s">
        <v>558</v>
      </c>
      <c r="H400" s="7" t="s">
        <v>559</v>
      </c>
      <c r="I400" s="8">
        <v>2973.8199999999997</v>
      </c>
      <c r="J400" s="9">
        <v>4230</v>
      </c>
      <c r="K400" s="9">
        <v>3807</v>
      </c>
      <c r="L400" s="10"/>
    </row>
    <row r="401" spans="1:12" ht="13" x14ac:dyDescent="0.3">
      <c r="A401" s="5" t="s">
        <v>554</v>
      </c>
      <c r="B401" s="5" t="s">
        <v>10</v>
      </c>
      <c r="C401" s="5" t="s">
        <v>393</v>
      </c>
      <c r="D401" s="5" t="s">
        <v>393</v>
      </c>
      <c r="E401" s="5" t="s">
        <v>393</v>
      </c>
      <c r="F401" s="5" t="str" cm="1">
        <f t="array" ref="F401">_xlfn.IFS(J401&lt;3000,$Q$3,J401&lt;5000,$Q$4,J401&lt;10000,$Q$5,J401&gt;=10000,$Q$6)</f>
        <v>$3.000 - $5.000</v>
      </c>
      <c r="G401" s="16" t="s">
        <v>560</v>
      </c>
      <c r="H401" s="7" t="s">
        <v>559</v>
      </c>
      <c r="I401" s="8">
        <v>1983.7620606060605</v>
      </c>
      <c r="J401" s="9">
        <v>3670</v>
      </c>
      <c r="K401" s="9">
        <v>3303</v>
      </c>
      <c r="L401" s="10"/>
    </row>
    <row r="402" spans="1:12" ht="13" x14ac:dyDescent="0.3">
      <c r="A402" s="5" t="s">
        <v>554</v>
      </c>
      <c r="B402" s="5" t="s">
        <v>10</v>
      </c>
      <c r="C402" s="5" t="s">
        <v>393</v>
      </c>
      <c r="D402" s="5" t="s">
        <v>393</v>
      </c>
      <c r="E402" s="5" t="s">
        <v>393</v>
      </c>
      <c r="F402" s="5" t="str" cm="1">
        <f t="array" ref="F402">_xlfn.IFS(J402&lt;3000,$Q$3,J402&lt;5000,$Q$4,J402&lt;10000,$Q$5,J402&gt;=10000,$Q$6)</f>
        <v>$5.000 - $10.000</v>
      </c>
      <c r="G402" s="16" t="s">
        <v>561</v>
      </c>
      <c r="H402" s="7" t="s">
        <v>556</v>
      </c>
      <c r="I402" s="8">
        <v>3474</v>
      </c>
      <c r="J402" s="9">
        <v>5230</v>
      </c>
      <c r="K402" s="9">
        <v>4707</v>
      </c>
      <c r="L402" s="10"/>
    </row>
    <row r="403" spans="1:12" ht="13" x14ac:dyDescent="0.3">
      <c r="A403" s="5" t="s">
        <v>554</v>
      </c>
      <c r="B403" s="5" t="s">
        <v>10</v>
      </c>
      <c r="C403" s="5" t="s">
        <v>393</v>
      </c>
      <c r="D403" s="5" t="s">
        <v>393</v>
      </c>
      <c r="E403" s="5" t="s">
        <v>393</v>
      </c>
      <c r="F403" s="5" t="e" cm="1">
        <f t="array" ref="F403">_xlfn.IFS(J403&lt;3000,$Q$3,J403&lt;5000,$Q$4,J403&lt;10000,$Q$5,J403&gt;=10000,$Q$6)</f>
        <v>#REF!</v>
      </c>
      <c r="G403" s="16" t="s">
        <v>562</v>
      </c>
      <c r="H403" s="7" t="s">
        <v>556</v>
      </c>
      <c r="I403" s="8" t="e">
        <v>#REF!</v>
      </c>
      <c r="J403" s="9" t="e">
        <v>#REF!</v>
      </c>
      <c r="K403" s="9" t="e">
        <v>#REF!</v>
      </c>
      <c r="L403" s="10"/>
    </row>
    <row r="404" spans="1:12" ht="13" x14ac:dyDescent="0.3">
      <c r="A404" s="5" t="s">
        <v>554</v>
      </c>
      <c r="B404" s="5" t="s">
        <v>10</v>
      </c>
      <c r="C404" s="5" t="s">
        <v>393</v>
      </c>
      <c r="D404" s="5" t="s">
        <v>393</v>
      </c>
      <c r="E404" s="5" t="s">
        <v>393</v>
      </c>
      <c r="F404" s="5" t="str" cm="1">
        <f t="array" ref="F404">_xlfn.IFS(J404&lt;3000,$Q$3,J404&lt;5000,$Q$4,J404&lt;10000,$Q$5,J404&gt;=10000,$Q$6)</f>
        <v>$5.000 - $10.000</v>
      </c>
      <c r="G404" s="16" t="s">
        <v>563</v>
      </c>
      <c r="H404" s="7" t="s">
        <v>556</v>
      </c>
      <c r="I404" s="8">
        <v>3877.7520661157023</v>
      </c>
      <c r="J404" s="9">
        <v>6000</v>
      </c>
      <c r="K404" s="9">
        <v>5400</v>
      </c>
      <c r="L404" s="10"/>
    </row>
    <row r="405" spans="1:12" ht="13" x14ac:dyDescent="0.3">
      <c r="A405" s="5" t="s">
        <v>554</v>
      </c>
      <c r="B405" s="5" t="s">
        <v>10</v>
      </c>
      <c r="C405" s="5" t="s">
        <v>393</v>
      </c>
      <c r="D405" s="5" t="s">
        <v>393</v>
      </c>
      <c r="E405" s="5" t="s">
        <v>393</v>
      </c>
      <c r="F405" s="5" t="str" cm="1">
        <f t="array" ref="F405">_xlfn.IFS(J405&lt;3000,$Q$3,J405&lt;5000,$Q$4,J405&lt;10000,$Q$5,J405&gt;=10000,$Q$6)</f>
        <v>$5.000 - $10.000</v>
      </c>
      <c r="G405" s="16" t="s">
        <v>564</v>
      </c>
      <c r="H405" s="7" t="s">
        <v>556</v>
      </c>
      <c r="I405" s="8">
        <v>5554</v>
      </c>
      <c r="J405" s="9">
        <v>8340</v>
      </c>
      <c r="K405" s="9">
        <v>7506</v>
      </c>
      <c r="L405" s="10"/>
    </row>
    <row r="406" spans="1:12" ht="13" x14ac:dyDescent="0.3">
      <c r="A406" s="5" t="s">
        <v>554</v>
      </c>
      <c r="B406" s="5" t="s">
        <v>10</v>
      </c>
      <c r="C406" s="5" t="s">
        <v>393</v>
      </c>
      <c r="D406" s="5" t="s">
        <v>393</v>
      </c>
      <c r="E406" s="5" t="s">
        <v>393</v>
      </c>
      <c r="F406" s="5" t="str" cm="1">
        <f t="array" ref="F406">_xlfn.IFS(J406&lt;3000,$Q$3,J406&lt;5000,$Q$4,J406&lt;10000,$Q$5,J406&gt;=10000,$Q$6)</f>
        <v>$5.000 - $10.000</v>
      </c>
      <c r="G406" s="16" t="s">
        <v>565</v>
      </c>
      <c r="H406" s="7" t="s">
        <v>556</v>
      </c>
      <c r="I406" s="8">
        <v>5484.54</v>
      </c>
      <c r="J406" s="9">
        <v>8000</v>
      </c>
      <c r="K406" s="9">
        <v>7200</v>
      </c>
      <c r="L406" s="10"/>
    </row>
    <row r="407" spans="1:12" ht="13" x14ac:dyDescent="0.3">
      <c r="A407" s="5" t="s">
        <v>554</v>
      </c>
      <c r="B407" s="5" t="s">
        <v>10</v>
      </c>
      <c r="C407" s="5" t="s">
        <v>393</v>
      </c>
      <c r="D407" s="5" t="s">
        <v>393</v>
      </c>
      <c r="E407" s="5" t="s">
        <v>393</v>
      </c>
      <c r="F407" s="5" t="e" cm="1">
        <f t="array" ref="F407">_xlfn.IFS(J407&lt;3000,$Q$3,J407&lt;5000,$Q$4,J407&lt;10000,$Q$5,J407&gt;=10000,$Q$6)</f>
        <v>#REF!</v>
      </c>
      <c r="G407" s="16" t="s">
        <v>566</v>
      </c>
      <c r="H407" s="7" t="s">
        <v>556</v>
      </c>
      <c r="I407" s="8" t="e">
        <v>#REF!</v>
      </c>
      <c r="J407" s="9" t="e">
        <v>#REF!</v>
      </c>
      <c r="K407" s="9" t="e">
        <v>#REF!</v>
      </c>
      <c r="L407" s="10"/>
    </row>
    <row r="408" spans="1:12" ht="13" x14ac:dyDescent="0.3">
      <c r="A408" s="5" t="s">
        <v>554</v>
      </c>
      <c r="B408" s="5" t="s">
        <v>10</v>
      </c>
      <c r="C408" s="5" t="s">
        <v>393</v>
      </c>
      <c r="D408" s="5" t="s">
        <v>393</v>
      </c>
      <c r="E408" s="5" t="s">
        <v>393</v>
      </c>
      <c r="F408" s="5" t="str" cm="1">
        <f t="array" ref="F408">_xlfn.IFS(J408&lt;3000,$Q$3,J408&lt;5000,$Q$4,J408&lt;10000,$Q$5,J408&gt;=10000,$Q$6)</f>
        <v>$5.000 - $10.000</v>
      </c>
      <c r="G408" s="16" t="s">
        <v>567</v>
      </c>
      <c r="H408" s="7" t="s">
        <v>556</v>
      </c>
      <c r="I408" s="8">
        <v>2660</v>
      </c>
      <c r="J408" s="9">
        <v>5340</v>
      </c>
      <c r="K408" s="9">
        <v>4806</v>
      </c>
      <c r="L408" s="10"/>
    </row>
    <row r="409" spans="1:12" ht="13" x14ac:dyDescent="0.3">
      <c r="A409" s="5" t="s">
        <v>554</v>
      </c>
      <c r="B409" s="5" t="s">
        <v>10</v>
      </c>
      <c r="C409" s="5" t="s">
        <v>393</v>
      </c>
      <c r="D409" s="5" t="s">
        <v>393</v>
      </c>
      <c r="E409" s="5" t="s">
        <v>393</v>
      </c>
      <c r="F409" s="5" t="str" cm="1">
        <f t="array" ref="F409">_xlfn.IFS(J409&lt;3000,$Q$3,J409&lt;5000,$Q$4,J409&lt;10000,$Q$5,J409&gt;=10000,$Q$6)</f>
        <v>$5.000 - $10.000</v>
      </c>
      <c r="G409" s="16" t="s">
        <v>568</v>
      </c>
      <c r="H409" s="7" t="s">
        <v>556</v>
      </c>
      <c r="I409" s="8">
        <v>4672</v>
      </c>
      <c r="J409" s="9">
        <v>7230</v>
      </c>
      <c r="K409" s="9">
        <v>6507</v>
      </c>
      <c r="L409" s="10"/>
    </row>
    <row r="410" spans="1:12" ht="13" x14ac:dyDescent="0.3">
      <c r="A410" s="5" t="s">
        <v>554</v>
      </c>
      <c r="B410" s="5" t="s">
        <v>10</v>
      </c>
      <c r="C410" s="5" t="s">
        <v>393</v>
      </c>
      <c r="D410" s="5" t="s">
        <v>393</v>
      </c>
      <c r="E410" s="5" t="s">
        <v>393</v>
      </c>
      <c r="F410" s="5" t="str" cm="1">
        <f t="array" ref="F410">_xlfn.IFS(J410&lt;3000,$Q$3,J410&lt;5000,$Q$4,J410&lt;10000,$Q$5,J410&gt;=10000,$Q$6)</f>
        <v>$5.000 - $10.000</v>
      </c>
      <c r="G410" s="16" t="s">
        <v>569</v>
      </c>
      <c r="H410" s="7" t="s">
        <v>556</v>
      </c>
      <c r="I410" s="8">
        <v>6048</v>
      </c>
      <c r="J410" s="9">
        <v>8890</v>
      </c>
      <c r="K410" s="9">
        <v>8001</v>
      </c>
      <c r="L410" s="10"/>
    </row>
    <row r="411" spans="1:12" ht="13" x14ac:dyDescent="0.3">
      <c r="A411" s="5" t="s">
        <v>554</v>
      </c>
      <c r="B411" s="5" t="s">
        <v>10</v>
      </c>
      <c r="C411" s="5" t="s">
        <v>393</v>
      </c>
      <c r="D411" s="5" t="s">
        <v>393</v>
      </c>
      <c r="E411" s="5" t="s">
        <v>393</v>
      </c>
      <c r="F411" s="5" t="str" cm="1">
        <f t="array" ref="F411">_xlfn.IFS(J411&lt;3000,$Q$3,J411&lt;5000,$Q$4,J411&lt;10000,$Q$5,J411&gt;=10000,$Q$6)</f>
        <v>$10.000 en adelante</v>
      </c>
      <c r="G411" s="16" t="s">
        <v>570</v>
      </c>
      <c r="H411" s="7" t="s">
        <v>556</v>
      </c>
      <c r="I411" s="8">
        <v>7068</v>
      </c>
      <c r="J411" s="9">
        <v>10230</v>
      </c>
      <c r="K411" s="9">
        <v>9207</v>
      </c>
      <c r="L411" s="10"/>
    </row>
    <row r="412" spans="1:12" ht="13" x14ac:dyDescent="0.3">
      <c r="A412" s="5" t="s">
        <v>554</v>
      </c>
      <c r="B412" s="5" t="s">
        <v>10</v>
      </c>
      <c r="C412" s="5" t="s">
        <v>393</v>
      </c>
      <c r="D412" s="5" t="s">
        <v>393</v>
      </c>
      <c r="E412" s="5" t="s">
        <v>393</v>
      </c>
      <c r="F412" s="5" t="str" cm="1">
        <f t="array" ref="F412">_xlfn.IFS(J412&lt;3000,$Q$3,J412&lt;5000,$Q$4,J412&lt;10000,$Q$5,J412&gt;=10000,$Q$6)</f>
        <v>$10.000 en adelante</v>
      </c>
      <c r="G412" s="16" t="s">
        <v>571</v>
      </c>
      <c r="H412" s="7" t="s">
        <v>556</v>
      </c>
      <c r="I412" s="8">
        <v>8086</v>
      </c>
      <c r="J412" s="9">
        <v>12670</v>
      </c>
      <c r="K412" s="9">
        <v>11403</v>
      </c>
      <c r="L412" s="10"/>
    </row>
    <row r="413" spans="1:12" ht="13" x14ac:dyDescent="0.3">
      <c r="A413" s="5" t="s">
        <v>554</v>
      </c>
      <c r="B413" s="5" t="s">
        <v>10</v>
      </c>
      <c r="C413" s="5" t="s">
        <v>393</v>
      </c>
      <c r="D413" s="5" t="s">
        <v>393</v>
      </c>
      <c r="E413" s="5" t="s">
        <v>393</v>
      </c>
      <c r="F413" s="5" t="str" cm="1">
        <f t="array" ref="F413">_xlfn.IFS(J413&lt;3000,$Q$3,J413&lt;5000,$Q$4,J413&lt;10000,$Q$5,J413&gt;=10000,$Q$6)</f>
        <v>$10.000 en adelante</v>
      </c>
      <c r="G413" s="16" t="s">
        <v>572</v>
      </c>
      <c r="H413" s="7" t="s">
        <v>556</v>
      </c>
      <c r="I413" s="8">
        <v>10230</v>
      </c>
      <c r="J413" s="9">
        <v>17560</v>
      </c>
      <c r="K413" s="9">
        <v>15804</v>
      </c>
      <c r="L413" s="10"/>
    </row>
    <row r="414" spans="1:12" ht="13" x14ac:dyDescent="0.3">
      <c r="A414" s="5" t="s">
        <v>554</v>
      </c>
      <c r="B414" s="5" t="s">
        <v>10</v>
      </c>
      <c r="C414" s="5" t="s">
        <v>393</v>
      </c>
      <c r="D414" s="5" t="s">
        <v>393</v>
      </c>
      <c r="E414" s="5" t="s">
        <v>393</v>
      </c>
      <c r="F414" s="5" t="str" cm="1">
        <f t="array" ref="F414">_xlfn.IFS(J414&lt;3000,$Q$3,J414&lt;5000,$Q$4,J414&lt;10000,$Q$5,J414&gt;=10000,$Q$6)</f>
        <v>$5.000 - $10.000</v>
      </c>
      <c r="G414" s="16" t="s">
        <v>573</v>
      </c>
      <c r="H414" s="7" t="s">
        <v>574</v>
      </c>
      <c r="I414" s="8">
        <v>6304</v>
      </c>
      <c r="J414" s="9">
        <v>9560</v>
      </c>
      <c r="K414" s="9">
        <v>8604</v>
      </c>
      <c r="L414" s="10"/>
    </row>
    <row r="415" spans="1:12" ht="13" x14ac:dyDescent="0.3">
      <c r="A415" s="5" t="s">
        <v>554</v>
      </c>
      <c r="B415" s="5" t="s">
        <v>10</v>
      </c>
      <c r="C415" s="5" t="s">
        <v>393</v>
      </c>
      <c r="D415" s="5" t="s">
        <v>393</v>
      </c>
      <c r="E415" s="5" t="s">
        <v>393</v>
      </c>
      <c r="F415" s="5" t="str" cm="1">
        <f t="array" ref="F415">_xlfn.IFS(J415&lt;3000,$Q$3,J415&lt;5000,$Q$4,J415&lt;10000,$Q$5,J415&gt;=10000,$Q$6)</f>
        <v>$10.000 en adelante</v>
      </c>
      <c r="G415" s="16" t="s">
        <v>575</v>
      </c>
      <c r="H415" s="7" t="s">
        <v>556</v>
      </c>
      <c r="I415" s="8">
        <v>6960</v>
      </c>
      <c r="J415" s="9">
        <v>11670</v>
      </c>
      <c r="K415" s="9">
        <v>10503</v>
      </c>
      <c r="L415" s="10"/>
    </row>
    <row r="416" spans="1:12" ht="13" x14ac:dyDescent="0.3">
      <c r="A416" s="5" t="s">
        <v>554</v>
      </c>
      <c r="B416" s="5" t="s">
        <v>10</v>
      </c>
      <c r="C416" s="5" t="s">
        <v>393</v>
      </c>
      <c r="D416" s="5" t="s">
        <v>393</v>
      </c>
      <c r="E416" s="5" t="s">
        <v>393</v>
      </c>
      <c r="F416" s="5" t="str" cm="1">
        <f t="array" ref="F416">_xlfn.IFS(J416&lt;3000,$Q$3,J416&lt;5000,$Q$4,J416&lt;10000,$Q$5,J416&gt;=10000,$Q$6)</f>
        <v>$10.000 en adelante</v>
      </c>
      <c r="G416" s="16" t="s">
        <v>576</v>
      </c>
      <c r="H416" s="7" t="s">
        <v>556</v>
      </c>
      <c r="I416" s="8">
        <v>9312.0413223140495</v>
      </c>
      <c r="J416" s="9">
        <v>14000</v>
      </c>
      <c r="K416" s="9">
        <v>12600</v>
      </c>
      <c r="L416" s="10"/>
    </row>
    <row r="417" spans="1:12" ht="13" x14ac:dyDescent="0.3">
      <c r="A417" s="5" t="s">
        <v>554</v>
      </c>
      <c r="B417" s="5" t="s">
        <v>10</v>
      </c>
      <c r="C417" s="5" t="s">
        <v>393</v>
      </c>
      <c r="D417" s="5" t="s">
        <v>393</v>
      </c>
      <c r="E417" s="5" t="s">
        <v>393</v>
      </c>
      <c r="F417" s="5" t="str" cm="1">
        <f t="array" ref="F417">_xlfn.IFS(J417&lt;3000,$Q$3,J417&lt;5000,$Q$4,J417&lt;10000,$Q$5,J417&gt;=10000,$Q$6)</f>
        <v>$10.000 en adelante</v>
      </c>
      <c r="G417" s="16" t="s">
        <v>577</v>
      </c>
      <c r="H417" s="7" t="s">
        <v>556</v>
      </c>
      <c r="I417" s="8">
        <v>10141.735537190083</v>
      </c>
      <c r="J417" s="9">
        <v>14780</v>
      </c>
      <c r="K417" s="9">
        <v>13302</v>
      </c>
      <c r="L417" s="10"/>
    </row>
    <row r="418" spans="1:12" ht="13" x14ac:dyDescent="0.3">
      <c r="A418" s="5" t="s">
        <v>554</v>
      </c>
      <c r="B418" s="5" t="s">
        <v>10</v>
      </c>
      <c r="C418" s="5" t="s">
        <v>393</v>
      </c>
      <c r="D418" s="5" t="s">
        <v>393</v>
      </c>
      <c r="E418" s="5" t="s">
        <v>393</v>
      </c>
      <c r="F418" s="5" t="str" cm="1">
        <f t="array" ref="F418">_xlfn.IFS(J418&lt;3000,$Q$3,J418&lt;5000,$Q$4,J418&lt;10000,$Q$5,J418&gt;=10000,$Q$6)</f>
        <v>$5.000 - $10.000</v>
      </c>
      <c r="G418" s="16" t="s">
        <v>578</v>
      </c>
      <c r="H418" s="7" t="s">
        <v>556</v>
      </c>
      <c r="I418" s="8">
        <v>3936</v>
      </c>
      <c r="J418" s="9">
        <v>6230</v>
      </c>
      <c r="K418" s="9">
        <v>5607</v>
      </c>
      <c r="L418" s="10"/>
    </row>
    <row r="419" spans="1:12" ht="13" x14ac:dyDescent="0.3">
      <c r="A419" s="5" t="s">
        <v>554</v>
      </c>
      <c r="B419" s="5" t="s">
        <v>10</v>
      </c>
      <c r="C419" s="5" t="s">
        <v>393</v>
      </c>
      <c r="D419" s="5" t="s">
        <v>393</v>
      </c>
      <c r="E419" s="5" t="s">
        <v>393</v>
      </c>
      <c r="F419" s="5" t="str" cm="1">
        <f t="array" ref="F419">_xlfn.IFS(J419&lt;3000,$Q$3,J419&lt;5000,$Q$4,J419&lt;10000,$Q$5,J419&gt;=10000,$Q$6)</f>
        <v>$10.000 en adelante</v>
      </c>
      <c r="G419" s="16" t="s">
        <v>579</v>
      </c>
      <c r="H419" s="7" t="s">
        <v>556</v>
      </c>
      <c r="I419" s="8">
        <v>9908</v>
      </c>
      <c r="J419" s="9">
        <v>16890</v>
      </c>
      <c r="K419" s="9">
        <v>15201</v>
      </c>
      <c r="L419" s="10"/>
    </row>
    <row r="420" spans="1:12" ht="13" x14ac:dyDescent="0.3">
      <c r="A420" s="5" t="s">
        <v>554</v>
      </c>
      <c r="B420" s="5" t="s">
        <v>10</v>
      </c>
      <c r="C420" s="5" t="s">
        <v>393</v>
      </c>
      <c r="D420" s="5" t="s">
        <v>393</v>
      </c>
      <c r="E420" s="5" t="s">
        <v>393</v>
      </c>
      <c r="F420" s="5" t="str" cm="1">
        <f t="array" ref="F420">_xlfn.IFS(J420&lt;3000,$Q$3,J420&lt;5000,$Q$4,J420&lt;10000,$Q$5,J420&gt;=10000,$Q$6)</f>
        <v>$10.000 en adelante</v>
      </c>
      <c r="G420" s="16" t="s">
        <v>580</v>
      </c>
      <c r="H420" s="7" t="s">
        <v>559</v>
      </c>
      <c r="I420" s="8">
        <v>6930</v>
      </c>
      <c r="J420" s="9">
        <v>13340</v>
      </c>
      <c r="K420" s="9">
        <v>12006</v>
      </c>
      <c r="L420" s="10"/>
    </row>
    <row r="421" spans="1:12" ht="13" x14ac:dyDescent="0.3">
      <c r="A421" s="5" t="s">
        <v>554</v>
      </c>
      <c r="B421" s="5" t="s">
        <v>10</v>
      </c>
      <c r="C421" s="5" t="s">
        <v>393</v>
      </c>
      <c r="D421" s="5" t="s">
        <v>393</v>
      </c>
      <c r="E421" s="5" t="s">
        <v>393</v>
      </c>
      <c r="F421" s="5" t="str" cm="1">
        <f t="array" ref="F421">_xlfn.IFS(J421&lt;3000,$Q$3,J421&lt;5000,$Q$4,J421&lt;10000,$Q$5,J421&gt;=10000,$Q$6)</f>
        <v>$10.000 en adelante</v>
      </c>
      <c r="G421" s="16" t="s">
        <v>581</v>
      </c>
      <c r="H421" s="7" t="s">
        <v>559</v>
      </c>
      <c r="I421" s="8">
        <v>22335</v>
      </c>
      <c r="J421" s="9">
        <v>37560</v>
      </c>
      <c r="K421" s="9">
        <v>33804</v>
      </c>
      <c r="L421" s="10"/>
    </row>
    <row r="422" spans="1:12" ht="13" x14ac:dyDescent="0.3">
      <c r="A422" s="5" t="s">
        <v>554</v>
      </c>
      <c r="B422" s="5" t="s">
        <v>391</v>
      </c>
      <c r="C422" s="5" t="s">
        <v>393</v>
      </c>
      <c r="D422" s="5" t="s">
        <v>393</v>
      </c>
      <c r="E422" s="5" t="s">
        <v>443</v>
      </c>
      <c r="F422" s="5" t="str" cm="1">
        <f t="array" ref="F422">_xlfn.IFS(J422&lt;3000,$Q$3,J422&lt;5000,$Q$4,J422&lt;10000,$Q$5,J422&gt;=10000,$Q$6)</f>
        <v>$0 a $3.000</v>
      </c>
      <c r="G422" s="16" t="s">
        <v>582</v>
      </c>
      <c r="H422" s="7" t="s">
        <v>393</v>
      </c>
      <c r="I422" s="8">
        <v>1785</v>
      </c>
      <c r="J422" s="9">
        <v>2620</v>
      </c>
      <c r="K422" s="9">
        <v>2358</v>
      </c>
      <c r="L422" s="10"/>
    </row>
    <row r="423" spans="1:12" ht="13" x14ac:dyDescent="0.3">
      <c r="A423" s="5" t="s">
        <v>554</v>
      </c>
      <c r="B423" s="5" t="s">
        <v>391</v>
      </c>
      <c r="C423" s="5" t="s">
        <v>393</v>
      </c>
      <c r="D423" s="5" t="s">
        <v>393</v>
      </c>
      <c r="E423" s="5" t="s">
        <v>443</v>
      </c>
      <c r="F423" s="5" t="str" cm="1">
        <f t="array" ref="F423">_xlfn.IFS(J423&lt;3000,$Q$3,J423&lt;5000,$Q$4,J423&lt;10000,$Q$5,J423&gt;=10000,$Q$6)</f>
        <v>$0 a $3.000</v>
      </c>
      <c r="G423" s="16" t="s">
        <v>583</v>
      </c>
      <c r="H423" s="7" t="s">
        <v>393</v>
      </c>
      <c r="I423" s="8">
        <v>1928</v>
      </c>
      <c r="J423" s="9">
        <v>2840</v>
      </c>
      <c r="K423" s="9">
        <v>2556</v>
      </c>
      <c r="L423" s="10"/>
    </row>
    <row r="424" spans="1:12" ht="13" x14ac:dyDescent="0.3">
      <c r="A424" s="5" t="s">
        <v>554</v>
      </c>
      <c r="B424" s="5" t="s">
        <v>391</v>
      </c>
      <c r="C424" s="5" t="s">
        <v>393</v>
      </c>
      <c r="D424" s="5" t="s">
        <v>393</v>
      </c>
      <c r="E424" s="5" t="s">
        <v>443</v>
      </c>
      <c r="F424" s="5" t="str" cm="1">
        <f t="array" ref="F424">_xlfn.IFS(J424&lt;3000,$Q$3,J424&lt;5000,$Q$4,J424&lt;10000,$Q$5,J424&gt;=10000,$Q$6)</f>
        <v>$0 a $3.000</v>
      </c>
      <c r="G424" s="16" t="s">
        <v>584</v>
      </c>
      <c r="H424" s="7" t="s">
        <v>393</v>
      </c>
      <c r="I424" s="8">
        <v>1928</v>
      </c>
      <c r="J424" s="9">
        <v>2840</v>
      </c>
      <c r="K424" s="9">
        <v>2556</v>
      </c>
      <c r="L424" s="10"/>
    </row>
    <row r="425" spans="1:12" ht="13" x14ac:dyDescent="0.3">
      <c r="A425" s="5" t="s">
        <v>554</v>
      </c>
      <c r="B425" s="5" t="s">
        <v>391</v>
      </c>
      <c r="C425" s="5" t="s">
        <v>393</v>
      </c>
      <c r="D425" s="5" t="s">
        <v>393</v>
      </c>
      <c r="E425" s="5" t="s">
        <v>443</v>
      </c>
      <c r="F425" s="5" t="str" cm="1">
        <f t="array" ref="F425">_xlfn.IFS(J425&lt;3000,$Q$3,J425&lt;5000,$Q$4,J425&lt;10000,$Q$5,J425&gt;=10000,$Q$6)</f>
        <v>$0 a $3.000</v>
      </c>
      <c r="G425" s="16" t="s">
        <v>585</v>
      </c>
      <c r="H425" s="7" t="s">
        <v>393</v>
      </c>
      <c r="I425" s="8">
        <v>1928</v>
      </c>
      <c r="J425" s="9">
        <v>2840</v>
      </c>
      <c r="K425" s="9">
        <v>2556</v>
      </c>
      <c r="L425" s="10"/>
    </row>
    <row r="426" spans="1:12" ht="13" x14ac:dyDescent="0.3">
      <c r="A426" s="5" t="s">
        <v>554</v>
      </c>
      <c r="B426" s="5" t="s">
        <v>391</v>
      </c>
      <c r="C426" s="5" t="s">
        <v>393</v>
      </c>
      <c r="D426" s="5" t="s">
        <v>393</v>
      </c>
      <c r="E426" s="5" t="s">
        <v>443</v>
      </c>
      <c r="F426" s="5" t="str" cm="1">
        <f t="array" ref="F426">_xlfn.IFS(J426&lt;3000,$Q$3,J426&lt;5000,$Q$4,J426&lt;10000,$Q$5,J426&gt;=10000,$Q$6)</f>
        <v>$0 a $3.000</v>
      </c>
      <c r="G426" s="16" t="s">
        <v>586</v>
      </c>
      <c r="H426" s="7" t="s">
        <v>393</v>
      </c>
      <c r="I426" s="8">
        <v>1928</v>
      </c>
      <c r="J426" s="9">
        <v>2840</v>
      </c>
      <c r="K426" s="9">
        <v>2556</v>
      </c>
      <c r="L426" s="10"/>
    </row>
    <row r="427" spans="1:12" ht="13" x14ac:dyDescent="0.3">
      <c r="A427" s="5" t="s">
        <v>554</v>
      </c>
      <c r="B427" s="5" t="s">
        <v>391</v>
      </c>
      <c r="C427" s="5" t="s">
        <v>393</v>
      </c>
      <c r="D427" s="5" t="s">
        <v>393</v>
      </c>
      <c r="E427" s="5" t="s">
        <v>443</v>
      </c>
      <c r="F427" s="5" t="str" cm="1">
        <f t="array" ref="F427">_xlfn.IFS(J427&lt;3000,$Q$3,J427&lt;5000,$Q$4,J427&lt;10000,$Q$5,J427&gt;=10000,$Q$6)</f>
        <v>$0 a $3.000</v>
      </c>
      <c r="G427" s="16" t="s">
        <v>587</v>
      </c>
      <c r="H427" s="7" t="s">
        <v>393</v>
      </c>
      <c r="I427" s="8">
        <v>1928</v>
      </c>
      <c r="J427" s="9">
        <v>2840</v>
      </c>
      <c r="K427" s="9">
        <v>2556</v>
      </c>
      <c r="L427" s="10"/>
    </row>
    <row r="428" spans="1:12" ht="13" x14ac:dyDescent="0.3">
      <c r="A428" s="5" t="s">
        <v>554</v>
      </c>
      <c r="B428" s="5" t="s">
        <v>391</v>
      </c>
      <c r="C428" s="5" t="s">
        <v>393</v>
      </c>
      <c r="D428" s="5" t="s">
        <v>393</v>
      </c>
      <c r="E428" s="5" t="s">
        <v>478</v>
      </c>
      <c r="F428" s="5" t="str" cm="1">
        <f t="array" ref="F428">_xlfn.IFS(J428&lt;3000,$Q$3,J428&lt;5000,$Q$4,J428&lt;10000,$Q$5,J428&gt;=10000,$Q$6)</f>
        <v>$0 a $3.000</v>
      </c>
      <c r="G428" s="16" t="s">
        <v>588</v>
      </c>
      <c r="H428" s="7" t="s">
        <v>393</v>
      </c>
      <c r="I428" s="8">
        <v>1921.05</v>
      </c>
      <c r="J428" s="9">
        <v>2770</v>
      </c>
      <c r="K428" s="9">
        <v>2493</v>
      </c>
      <c r="L428" s="10"/>
    </row>
    <row r="429" spans="1:12" ht="13" x14ac:dyDescent="0.3">
      <c r="A429" s="5" t="s">
        <v>554</v>
      </c>
      <c r="B429" s="5" t="s">
        <v>391</v>
      </c>
      <c r="C429" s="5" t="s">
        <v>393</v>
      </c>
      <c r="D429" s="5" t="s">
        <v>393</v>
      </c>
      <c r="E429" s="5" t="s">
        <v>420</v>
      </c>
      <c r="F429" s="5" t="str" cm="1">
        <f t="array" ref="F429">_xlfn.IFS(J429&lt;3000,$Q$3,J429&lt;5000,$Q$4,J429&lt;10000,$Q$5,J429&gt;=10000,$Q$6)</f>
        <v>$3.000 - $5.000</v>
      </c>
      <c r="G429" s="16" t="s">
        <v>589</v>
      </c>
      <c r="H429" s="7" t="s">
        <v>393</v>
      </c>
      <c r="I429" s="8">
        <v>2142</v>
      </c>
      <c r="J429" s="9">
        <v>3100</v>
      </c>
      <c r="K429" s="9">
        <v>2790</v>
      </c>
      <c r="L429" s="10"/>
    </row>
    <row r="430" spans="1:12" ht="13" x14ac:dyDescent="0.3">
      <c r="A430" s="5" t="s">
        <v>554</v>
      </c>
      <c r="B430" s="5" t="s">
        <v>391</v>
      </c>
      <c r="C430" s="5" t="s">
        <v>393</v>
      </c>
      <c r="D430" s="5" t="s">
        <v>393</v>
      </c>
      <c r="E430" s="5" t="s">
        <v>407</v>
      </c>
      <c r="F430" s="5" t="e" cm="1">
        <f t="array" ref="F430">_xlfn.IFS(J430&lt;3000,$Q$3,J430&lt;5000,$Q$4,J430&lt;10000,$Q$5,J430&gt;=10000,$Q$6)</f>
        <v>#N/A</v>
      </c>
      <c r="G430" s="16" t="s">
        <v>590</v>
      </c>
      <c r="H430" s="7" t="s">
        <v>393</v>
      </c>
      <c r="I430" s="8" t="e">
        <v>#N/A</v>
      </c>
      <c r="J430" s="9" t="e">
        <v>#N/A</v>
      </c>
      <c r="K430" s="9" t="e">
        <v>#N/A</v>
      </c>
      <c r="L430" s="10"/>
    </row>
    <row r="431" spans="1:12" ht="13" x14ac:dyDescent="0.3">
      <c r="A431" s="5" t="s">
        <v>554</v>
      </c>
      <c r="B431" s="5" t="s">
        <v>391</v>
      </c>
      <c r="C431" s="5" t="s">
        <v>393</v>
      </c>
      <c r="D431" s="5" t="s">
        <v>393</v>
      </c>
      <c r="E431" s="5" t="s">
        <v>409</v>
      </c>
      <c r="F431" s="5" t="e" cm="1">
        <f t="array" ref="F431">_xlfn.IFS(J431&lt;3000,$Q$3,J431&lt;5000,$Q$4,J431&lt;10000,$Q$5,J431&gt;=10000,$Q$6)</f>
        <v>#N/A</v>
      </c>
      <c r="G431" s="16" t="s">
        <v>591</v>
      </c>
      <c r="H431" s="7" t="s">
        <v>393</v>
      </c>
      <c r="I431" s="8" t="e">
        <v>#N/A</v>
      </c>
      <c r="J431" s="9" t="e">
        <v>#N/A</v>
      </c>
      <c r="K431" s="9" t="e">
        <v>#N/A</v>
      </c>
      <c r="L431" s="10"/>
    </row>
    <row r="432" spans="1:12" ht="13" x14ac:dyDescent="0.3">
      <c r="A432" s="5" t="s">
        <v>554</v>
      </c>
      <c r="B432" s="5" t="s">
        <v>391</v>
      </c>
      <c r="C432" s="5" t="s">
        <v>393</v>
      </c>
      <c r="D432" s="5" t="s">
        <v>393</v>
      </c>
      <c r="E432" s="5" t="s">
        <v>412</v>
      </c>
      <c r="F432" s="5" t="e" cm="1">
        <f t="array" ref="F432">_xlfn.IFS(J432&lt;3000,$Q$3,J432&lt;5000,$Q$4,J432&lt;10000,$Q$5,J432&gt;=10000,$Q$6)</f>
        <v>#N/A</v>
      </c>
      <c r="G432" s="16" t="s">
        <v>592</v>
      </c>
      <c r="H432" s="7" t="s">
        <v>393</v>
      </c>
      <c r="I432" s="8" t="e">
        <v>#N/A</v>
      </c>
      <c r="J432" s="9" t="e">
        <v>#N/A</v>
      </c>
      <c r="K432" s="9" t="e">
        <v>#N/A</v>
      </c>
      <c r="L432" s="10"/>
    </row>
    <row r="433" spans="1:12" ht="13" x14ac:dyDescent="0.3">
      <c r="A433" s="5" t="s">
        <v>593</v>
      </c>
      <c r="B433" s="5" t="s">
        <v>10</v>
      </c>
      <c r="C433" s="5" t="s">
        <v>393</v>
      </c>
      <c r="D433" s="5" t="s">
        <v>393</v>
      </c>
      <c r="E433" s="5" t="s">
        <v>86</v>
      </c>
      <c r="F433" s="5" t="str" cm="1">
        <f t="array" ref="F433">_xlfn.IFS(J433&lt;3000,$R$3,J433&lt;5000,$R$4,J433&lt;10000,$R$5,J433&gt;10000,$R$6)</f>
        <v>$0 a $3.000</v>
      </c>
      <c r="G433" s="4" t="s">
        <v>594</v>
      </c>
      <c r="H433" s="7" t="s">
        <v>15</v>
      </c>
      <c r="I433" s="8">
        <v>1050</v>
      </c>
      <c r="J433" s="9">
        <v>1880</v>
      </c>
      <c r="K433" s="9">
        <v>1692</v>
      </c>
      <c r="L433" s="10"/>
    </row>
    <row r="434" spans="1:12" ht="13" x14ac:dyDescent="0.3">
      <c r="A434" s="5" t="s">
        <v>593</v>
      </c>
      <c r="B434" s="5" t="s">
        <v>10</v>
      </c>
      <c r="C434" s="5" t="s">
        <v>393</v>
      </c>
      <c r="D434" s="5" t="s">
        <v>393</v>
      </c>
      <c r="E434" s="5" t="s">
        <v>362</v>
      </c>
      <c r="F434" s="5" t="str" cm="1">
        <f t="array" ref="F434">_xlfn.IFS(J434&lt;3000,$R$3,J434&lt;5000,$R$4,J434&lt;10000,$R$5,J434&gt;10000,$R$6)</f>
        <v>$10.000 en adelante</v>
      </c>
      <c r="G434" s="4" t="s">
        <v>363</v>
      </c>
      <c r="H434" s="7" t="s">
        <v>79</v>
      </c>
      <c r="I434" s="8">
        <v>4310.7960000000003</v>
      </c>
      <c r="J434" s="9">
        <v>14440</v>
      </c>
      <c r="K434" s="9">
        <v>12996</v>
      </c>
      <c r="L434" s="10"/>
    </row>
    <row r="435" spans="1:12" ht="13" x14ac:dyDescent="0.3">
      <c r="A435" s="5" t="s">
        <v>593</v>
      </c>
      <c r="B435" s="5" t="s">
        <v>10</v>
      </c>
      <c r="C435" s="5" t="s">
        <v>393</v>
      </c>
      <c r="D435" s="5" t="s">
        <v>393</v>
      </c>
      <c r="E435" s="5" t="s">
        <v>117</v>
      </c>
      <c r="F435" s="5" t="str" cm="1">
        <f t="array" ref="F435">_xlfn.IFS(J435&lt;3000,$R$3,J435&lt;5000,$R$4,J435&lt;10000,$R$5,J435&gt;10000,$R$6)</f>
        <v>$5.000 - $10.000</v>
      </c>
      <c r="G435" s="4" t="s">
        <v>595</v>
      </c>
      <c r="H435" s="7" t="s">
        <v>79</v>
      </c>
      <c r="I435" s="8">
        <v>4310.99</v>
      </c>
      <c r="J435" s="9">
        <v>6440</v>
      </c>
      <c r="K435" s="9">
        <v>5796</v>
      </c>
      <c r="L435" s="10"/>
    </row>
    <row r="436" spans="1:12" ht="13" x14ac:dyDescent="0.3">
      <c r="A436" s="5" t="s">
        <v>593</v>
      </c>
      <c r="B436" s="5" t="s">
        <v>10</v>
      </c>
      <c r="C436" s="5" t="s">
        <v>393</v>
      </c>
      <c r="D436" s="5" t="s">
        <v>393</v>
      </c>
      <c r="E436" s="5" t="s">
        <v>72</v>
      </c>
      <c r="F436" s="5" t="str" cm="1">
        <f t="array" ref="F436">_xlfn.IFS(J436&lt;3000,$R$3,J436&lt;5000,$R$4,J436&lt;10000,$R$5,J436&gt;10000,$R$6)</f>
        <v>$5.000 - $10.000</v>
      </c>
      <c r="G436" s="4" t="s">
        <v>596</v>
      </c>
      <c r="H436" s="7" t="s">
        <v>79</v>
      </c>
      <c r="I436" s="8">
        <v>3688.19</v>
      </c>
      <c r="J436" s="9">
        <v>6550</v>
      </c>
      <c r="K436" s="9">
        <v>5895</v>
      </c>
      <c r="L436" s="10"/>
    </row>
    <row r="437" spans="1:12" ht="13" x14ac:dyDescent="0.3">
      <c r="A437" s="5" t="s">
        <v>593</v>
      </c>
      <c r="B437" s="5" t="s">
        <v>10</v>
      </c>
      <c r="C437" s="5" t="s">
        <v>393</v>
      </c>
      <c r="D437" s="5" t="s">
        <v>393</v>
      </c>
      <c r="E437" s="5" t="s">
        <v>172</v>
      </c>
      <c r="F437" s="5" t="str" cm="1">
        <f t="array" ref="F437">_xlfn.IFS(J437&lt;3000,$R$3,J437&lt;5000,$R$4,J437&lt;10000,$R$5,J437&gt;10000,$R$6)</f>
        <v>$5.000 - $10.000</v>
      </c>
      <c r="G437" s="4" t="s">
        <v>597</v>
      </c>
      <c r="H437" s="7" t="s">
        <v>79</v>
      </c>
      <c r="I437" s="8">
        <v>4229.1817355371904</v>
      </c>
      <c r="J437" s="9">
        <v>6220</v>
      </c>
      <c r="K437" s="9">
        <v>5598</v>
      </c>
      <c r="L437" s="10"/>
    </row>
    <row r="438" spans="1:12" ht="13" x14ac:dyDescent="0.3">
      <c r="A438" s="5" t="s">
        <v>593</v>
      </c>
      <c r="B438" s="5" t="s">
        <v>10</v>
      </c>
      <c r="C438" s="5" t="s">
        <v>393</v>
      </c>
      <c r="D438" s="5" t="s">
        <v>393</v>
      </c>
      <c r="E438" s="5" t="s">
        <v>78</v>
      </c>
      <c r="F438" s="5" t="str" cm="1">
        <f t="array" ref="F438">_xlfn.IFS(J438&lt;3000,$R$3,J438&lt;5000,$R$4,J438&lt;10000,$R$5,J438&gt;10000,$R$6)</f>
        <v>$10.000 en adelante</v>
      </c>
      <c r="G438" s="4" t="s">
        <v>598</v>
      </c>
      <c r="H438" s="7" t="s">
        <v>79</v>
      </c>
      <c r="I438" s="8">
        <v>8528.19</v>
      </c>
      <c r="J438" s="9">
        <v>13220</v>
      </c>
      <c r="K438" s="9">
        <v>11898</v>
      </c>
      <c r="L438" s="10"/>
    </row>
    <row r="439" spans="1:12" ht="13" x14ac:dyDescent="0.3">
      <c r="A439" s="5" t="s">
        <v>593</v>
      </c>
      <c r="B439" s="5" t="s">
        <v>10</v>
      </c>
      <c r="C439" s="5" t="s">
        <v>393</v>
      </c>
      <c r="D439" s="5" t="s">
        <v>393</v>
      </c>
      <c r="E439" s="5" t="s">
        <v>80</v>
      </c>
      <c r="F439" s="5" t="str" cm="1">
        <f t="array" ref="F439">_xlfn.IFS(J439&lt;3000,$R$3,J439&lt;5000,$R$4,J439&lt;10000,$R$5,J439&gt;10000,$R$6)</f>
        <v>$10.000 en adelante</v>
      </c>
      <c r="G439" s="4" t="s">
        <v>599</v>
      </c>
      <c r="H439" s="7" t="s">
        <v>79</v>
      </c>
      <c r="I439" s="8">
        <v>7923.1900000000005</v>
      </c>
      <c r="J439" s="9">
        <v>13220</v>
      </c>
      <c r="K439" s="9">
        <v>11898</v>
      </c>
      <c r="L439" s="10"/>
    </row>
    <row r="440" spans="1:12" ht="13" x14ac:dyDescent="0.3">
      <c r="A440" s="5" t="s">
        <v>593</v>
      </c>
      <c r="B440" s="5" t="s">
        <v>10</v>
      </c>
      <c r="C440" s="5" t="s">
        <v>393</v>
      </c>
      <c r="D440" s="5" t="s">
        <v>393</v>
      </c>
      <c r="E440" s="5" t="s">
        <v>83</v>
      </c>
      <c r="F440" s="5" t="str" cm="1">
        <f t="array" ref="F440">_xlfn.IFS(J440&lt;3000,$R$3,J440&lt;5000,$R$4,J440&lt;10000,$R$5,J440&gt;10000,$R$6)</f>
        <v>$10.000 en adelante</v>
      </c>
      <c r="G440" s="4" t="s">
        <v>600</v>
      </c>
      <c r="H440" s="7" t="s">
        <v>79</v>
      </c>
      <c r="I440" s="8">
        <v>10018.19</v>
      </c>
      <c r="J440" s="9">
        <v>17560</v>
      </c>
      <c r="K440" s="9">
        <v>15804</v>
      </c>
      <c r="L440" s="10"/>
    </row>
    <row r="441" spans="1:12" ht="13" x14ac:dyDescent="0.3">
      <c r="A441" s="5" t="s">
        <v>593</v>
      </c>
      <c r="B441" s="5" t="s">
        <v>10</v>
      </c>
      <c r="C441" s="5" t="s">
        <v>393</v>
      </c>
      <c r="D441" s="5" t="s">
        <v>393</v>
      </c>
      <c r="E441" s="5" t="s">
        <v>57</v>
      </c>
      <c r="F441" s="5" t="str" cm="1">
        <f t="array" ref="F441">_xlfn.IFS(J441&lt;3000,$R$3,J441&lt;5000,$R$4,J441&lt;10000,$R$5,J441&gt;10000,$R$6)</f>
        <v>$5.000 - $10.000</v>
      </c>
      <c r="G441" s="4" t="s">
        <v>601</v>
      </c>
      <c r="H441" s="7" t="s">
        <v>602</v>
      </c>
      <c r="I441" s="8">
        <v>5121.58</v>
      </c>
      <c r="J441" s="9">
        <v>7760</v>
      </c>
      <c r="K441" s="9">
        <v>6984</v>
      </c>
      <c r="L441" s="10"/>
    </row>
    <row r="442" spans="1:12" ht="13" x14ac:dyDescent="0.3">
      <c r="A442" s="5" t="s">
        <v>593</v>
      </c>
      <c r="B442" s="5" t="s">
        <v>10</v>
      </c>
      <c r="C442" s="5" t="s">
        <v>393</v>
      </c>
      <c r="D442" s="5" t="s">
        <v>393</v>
      </c>
      <c r="E442" s="5" t="s">
        <v>393</v>
      </c>
      <c r="F442" s="5" t="str" cm="1">
        <f t="array" ref="F442">_xlfn.IFS(J442&lt;3000,$R$3,J442&lt;5000,$R$4,J442&lt;10000,$R$5,J442&gt;10000,$R$6)</f>
        <v>$5.000 - $10.000</v>
      </c>
      <c r="G442" s="4" t="s">
        <v>603</v>
      </c>
      <c r="H442" s="7" t="s">
        <v>602</v>
      </c>
      <c r="I442" s="8">
        <v>5255.58</v>
      </c>
      <c r="J442" s="9">
        <v>8980</v>
      </c>
      <c r="K442" s="9">
        <v>8082</v>
      </c>
      <c r="L442" s="10"/>
    </row>
    <row r="443" spans="1:12" ht="13" x14ac:dyDescent="0.3">
      <c r="A443" s="5" t="s">
        <v>593</v>
      </c>
      <c r="B443" s="5" t="s">
        <v>10</v>
      </c>
      <c r="C443" s="5" t="s">
        <v>393</v>
      </c>
      <c r="D443" s="5" t="s">
        <v>393</v>
      </c>
      <c r="E443" s="5" t="s">
        <v>72</v>
      </c>
      <c r="F443" s="5" t="str" cm="1">
        <f t="array" ref="F443">_xlfn.IFS(J443&lt;3000,$R$3,J443&lt;5000,$R$4,J443&lt;10000,$R$5,J443&gt;10000,$R$6)</f>
        <v>$10.000 en adelante</v>
      </c>
      <c r="G443" s="4" t="s">
        <v>604</v>
      </c>
      <c r="H443" s="7" t="s">
        <v>602</v>
      </c>
      <c r="I443" s="8">
        <v>6190.58</v>
      </c>
      <c r="J443" s="9">
        <v>11320</v>
      </c>
      <c r="K443" s="9">
        <v>10188</v>
      </c>
      <c r="L443" s="10"/>
    </row>
    <row r="444" spans="1:12" ht="13" x14ac:dyDescent="0.3">
      <c r="A444" s="5" t="s">
        <v>593</v>
      </c>
      <c r="B444" s="5" t="s">
        <v>10</v>
      </c>
      <c r="C444" s="5" t="s">
        <v>393</v>
      </c>
      <c r="D444" s="5" t="s">
        <v>393</v>
      </c>
      <c r="E444" s="5" t="s">
        <v>393</v>
      </c>
      <c r="F444" s="5" t="str" cm="1">
        <f t="array" ref="F444">_xlfn.IFS(J444&lt;3000,$R$3,J444&lt;5000,$R$4,J444&lt;10000,$R$5,J444&gt;10000,$R$6)</f>
        <v>$10.000 en adelante</v>
      </c>
      <c r="G444" s="4" t="s">
        <v>605</v>
      </c>
      <c r="H444" s="7" t="s">
        <v>602</v>
      </c>
      <c r="I444" s="8">
        <v>10425.58</v>
      </c>
      <c r="J444" s="9">
        <v>17980</v>
      </c>
      <c r="K444" s="9">
        <v>16182</v>
      </c>
      <c r="L444" s="10"/>
    </row>
    <row r="445" spans="1:12" ht="13" x14ac:dyDescent="0.3">
      <c r="A445" s="5" t="s">
        <v>593</v>
      </c>
      <c r="B445" s="5" t="s">
        <v>10</v>
      </c>
      <c r="C445" s="5" t="s">
        <v>393</v>
      </c>
      <c r="D445" s="5" t="s">
        <v>393</v>
      </c>
      <c r="E445" s="5" t="s">
        <v>393</v>
      </c>
      <c r="F445" s="5" t="str" cm="1">
        <f t="array" ref="F445">_xlfn.IFS(J445&lt;3000,$R$3,J445&lt;5000,$R$4,J445&lt;10000,$R$5,J445&gt;10000,$R$6)</f>
        <v>$10.000 en adelante</v>
      </c>
      <c r="G445" s="4" t="s">
        <v>606</v>
      </c>
      <c r="H445" s="7" t="s">
        <v>602</v>
      </c>
      <c r="I445" s="8">
        <v>15265.58</v>
      </c>
      <c r="J445" s="9">
        <v>24650</v>
      </c>
      <c r="K445" s="9">
        <v>22185</v>
      </c>
      <c r="L445" s="10"/>
    </row>
    <row r="446" spans="1:12" ht="13" x14ac:dyDescent="0.3">
      <c r="A446" s="5" t="s">
        <v>593</v>
      </c>
      <c r="B446" s="5" t="s">
        <v>10</v>
      </c>
      <c r="C446" s="5" t="s">
        <v>393</v>
      </c>
      <c r="D446" s="5" t="s">
        <v>393</v>
      </c>
      <c r="E446" s="5" t="s">
        <v>393</v>
      </c>
      <c r="F446" s="5" t="str" cm="1">
        <f t="array" ref="F446">_xlfn.IFS(J446&lt;3000,$R$3,J446&lt;5000,$R$4,J446&lt;10000,$R$5,J446&gt;10000,$R$6)</f>
        <v>$10.000 en adelante</v>
      </c>
      <c r="G446" s="4" t="s">
        <v>607</v>
      </c>
      <c r="H446" s="7" t="s">
        <v>602</v>
      </c>
      <c r="I446" s="8">
        <v>16755.580000000002</v>
      </c>
      <c r="J446" s="9">
        <v>28990</v>
      </c>
      <c r="K446" s="9">
        <v>26091</v>
      </c>
      <c r="L446" s="10"/>
    </row>
    <row r="447" spans="1:12" ht="13" x14ac:dyDescent="0.3">
      <c r="A447" s="5" t="s">
        <v>593</v>
      </c>
      <c r="B447" s="5" t="s">
        <v>10</v>
      </c>
      <c r="C447" s="5" t="s">
        <v>393</v>
      </c>
      <c r="D447" s="5" t="s">
        <v>393</v>
      </c>
      <c r="E447" s="5" t="s">
        <v>393</v>
      </c>
      <c r="F447" s="5" t="str" cm="1">
        <f t="array" ref="F447">_xlfn.IFS(J447&lt;3000,$R$3,J447&lt;5000,$R$4,J447&lt;10000,$R$5,J447&gt;10000,$R$6)</f>
        <v>$10.000 en adelante</v>
      </c>
      <c r="G447" s="4" t="s">
        <v>608</v>
      </c>
      <c r="H447" s="7" t="s">
        <v>103</v>
      </c>
      <c r="I447" s="8">
        <v>6800.75</v>
      </c>
      <c r="J447" s="9">
        <v>10530</v>
      </c>
      <c r="K447" s="9">
        <v>9477</v>
      </c>
      <c r="L447" s="10"/>
    </row>
    <row r="448" spans="1:12" ht="13" x14ac:dyDescent="0.3">
      <c r="A448" s="5" t="s">
        <v>593</v>
      </c>
      <c r="B448" s="5" t="s">
        <v>10</v>
      </c>
      <c r="C448" s="5" t="s">
        <v>393</v>
      </c>
      <c r="D448" s="5" t="s">
        <v>393</v>
      </c>
      <c r="E448" s="5" t="s">
        <v>393</v>
      </c>
      <c r="F448" s="5" t="str" cm="1">
        <f t="array" ref="F448">_xlfn.IFS(J448&lt;3000,$R$3,J448&lt;5000,$R$4,J448&lt;10000,$R$5,J448&gt;10000,$R$6)</f>
        <v>$10.000 en adelante</v>
      </c>
      <c r="G448" s="4" t="s">
        <v>609</v>
      </c>
      <c r="H448" s="7" t="s">
        <v>103</v>
      </c>
      <c r="I448" s="8">
        <v>7664.75</v>
      </c>
      <c r="J448" s="9">
        <v>11640</v>
      </c>
      <c r="K448" s="9">
        <v>10476</v>
      </c>
      <c r="L448" s="10"/>
    </row>
    <row r="449" spans="1:12" ht="13" x14ac:dyDescent="0.3">
      <c r="A449" s="5" t="s">
        <v>593</v>
      </c>
      <c r="B449" s="5" t="s">
        <v>10</v>
      </c>
      <c r="C449" s="5" t="s">
        <v>393</v>
      </c>
      <c r="D449" s="5" t="s">
        <v>393</v>
      </c>
      <c r="E449" s="5" t="s">
        <v>393</v>
      </c>
      <c r="F449" s="5" t="e" cm="1">
        <f t="array" ref="F449">_xlfn.IFS(J449&lt;3000,$R$3,J449&lt;5000,$R$4,J449&lt;10000,$R$5,J449&gt;10000,$R$6)</f>
        <v>#N/A</v>
      </c>
      <c r="G449" s="4" t="s">
        <v>610</v>
      </c>
      <c r="H449" s="7" t="s">
        <v>103</v>
      </c>
      <c r="I449" s="8" t="e">
        <v>#N/A</v>
      </c>
      <c r="J449" s="9" t="e">
        <v>#N/A</v>
      </c>
      <c r="K449" s="9" t="e">
        <v>#N/A</v>
      </c>
      <c r="L449" s="10"/>
    </row>
    <row r="450" spans="1:12" ht="13" x14ac:dyDescent="0.3">
      <c r="A450" s="5" t="s">
        <v>593</v>
      </c>
      <c r="B450" s="5" t="s">
        <v>10</v>
      </c>
      <c r="C450" s="5" t="s">
        <v>393</v>
      </c>
      <c r="D450" s="5" t="s">
        <v>393</v>
      </c>
      <c r="E450" s="5" t="s">
        <v>393</v>
      </c>
      <c r="F450" s="5" t="str" cm="1">
        <f t="array" ref="F450">_xlfn.IFS(J450&lt;3000,$R$3,J450&lt;5000,$R$4,J450&lt;10000,$R$5,J450&gt;10000,$R$6)</f>
        <v>$10.000 en adelante</v>
      </c>
      <c r="G450" s="4" t="s">
        <v>611</v>
      </c>
      <c r="H450" s="7" t="s">
        <v>103</v>
      </c>
      <c r="I450" s="8">
        <v>9440.75</v>
      </c>
      <c r="J450" s="9">
        <v>17190</v>
      </c>
      <c r="K450" s="9">
        <v>15471</v>
      </c>
      <c r="L450" s="10"/>
    </row>
    <row r="451" spans="1:12" ht="13" x14ac:dyDescent="0.3">
      <c r="A451" s="5" t="s">
        <v>593</v>
      </c>
      <c r="B451" s="5" t="s">
        <v>10</v>
      </c>
      <c r="C451" s="5" t="s">
        <v>393</v>
      </c>
      <c r="D451" s="5" t="s">
        <v>393</v>
      </c>
      <c r="E451" s="5" t="s">
        <v>393</v>
      </c>
      <c r="F451" s="5" t="str" cm="1">
        <f t="array" ref="F451">_xlfn.IFS(J451&lt;3000,$R$3,J451&lt;5000,$R$4,J451&lt;10000,$R$5,J451&gt;10000,$R$6)</f>
        <v>$10.000 en adelante</v>
      </c>
      <c r="G451" s="4" t="s">
        <v>612</v>
      </c>
      <c r="H451" s="7" t="s">
        <v>103</v>
      </c>
      <c r="I451" s="8">
        <v>10436.359917355372</v>
      </c>
      <c r="J451" s="9">
        <v>15640</v>
      </c>
      <c r="K451" s="9">
        <v>14076</v>
      </c>
      <c r="L451" s="10"/>
    </row>
    <row r="452" spans="1:12" ht="13" x14ac:dyDescent="0.3">
      <c r="A452" s="5" t="s">
        <v>593</v>
      </c>
      <c r="B452" s="5" t="s">
        <v>10</v>
      </c>
      <c r="C452" s="5" t="s">
        <v>393</v>
      </c>
      <c r="D452" s="5" t="s">
        <v>393</v>
      </c>
      <c r="E452" s="5" t="s">
        <v>393</v>
      </c>
      <c r="F452" s="5" t="str" cm="1">
        <f t="array" ref="F452">_xlfn.IFS(J452&lt;3000,$R$3,J452&lt;5000,$R$4,J452&lt;10000,$R$5,J452&gt;10000,$R$6)</f>
        <v>$10.000 en adelante</v>
      </c>
      <c r="G452" s="4" t="s">
        <v>613</v>
      </c>
      <c r="H452" s="7" t="s">
        <v>103</v>
      </c>
      <c r="I452" s="8">
        <v>24845.75</v>
      </c>
      <c r="J452" s="9">
        <v>41540</v>
      </c>
      <c r="K452" s="9">
        <v>37386</v>
      </c>
      <c r="L452" s="10"/>
    </row>
    <row r="453" spans="1:12" ht="13" x14ac:dyDescent="0.3">
      <c r="A453" s="5" t="s">
        <v>593</v>
      </c>
      <c r="B453" s="5" t="s">
        <v>614</v>
      </c>
      <c r="C453" s="5" t="s">
        <v>393</v>
      </c>
      <c r="D453" s="5" t="s">
        <v>393</v>
      </c>
      <c r="E453" s="5" t="s">
        <v>478</v>
      </c>
      <c r="F453" s="5" t="str" cm="1">
        <f t="array" ref="F453">_xlfn.IFS(J453&lt;3000,$R$3,J453&lt;5000,$R$4,J453&lt;10000,$R$5,J453&gt;10000,$R$6)</f>
        <v>$5.000 - $10.000</v>
      </c>
      <c r="G453" s="4" t="s">
        <v>486</v>
      </c>
      <c r="H453" s="7" t="s">
        <v>79</v>
      </c>
      <c r="I453" s="8">
        <v>3148.0625</v>
      </c>
      <c r="J453" s="9">
        <v>5440</v>
      </c>
      <c r="K453" s="9">
        <v>4896</v>
      </c>
      <c r="L453" s="10"/>
    </row>
    <row r="454" spans="1:12" ht="13" x14ac:dyDescent="0.3">
      <c r="A454" s="5" t="s">
        <v>593</v>
      </c>
      <c r="B454" s="5" t="s">
        <v>614</v>
      </c>
      <c r="C454" s="5" t="s">
        <v>393</v>
      </c>
      <c r="D454" s="5" t="s">
        <v>393</v>
      </c>
      <c r="E454" s="5" t="s">
        <v>478</v>
      </c>
      <c r="F454" s="5" t="str" cm="1">
        <f t="array" ref="F454">_xlfn.IFS(J454&lt;3000,$R$3,J454&lt;5000,$R$4,J454&lt;10000,$R$5,J454&gt;10000,$R$6)</f>
        <v>$5.000 - $10.000</v>
      </c>
      <c r="G454" s="4" t="s">
        <v>489</v>
      </c>
      <c r="H454" s="7" t="s">
        <v>79</v>
      </c>
      <c r="I454" s="8">
        <v>3620.2749999999996</v>
      </c>
      <c r="J454" s="9">
        <v>5550</v>
      </c>
      <c r="K454" s="9">
        <v>4995</v>
      </c>
      <c r="L454" s="10"/>
    </row>
    <row r="455" spans="1:12" ht="13" x14ac:dyDescent="0.3">
      <c r="A455" s="5" t="s">
        <v>593</v>
      </c>
      <c r="B455" s="5" t="s">
        <v>614</v>
      </c>
      <c r="C455" s="5" t="s">
        <v>393</v>
      </c>
      <c r="D455" s="5" t="s">
        <v>393</v>
      </c>
      <c r="E455" s="5" t="s">
        <v>478</v>
      </c>
      <c r="F455" s="5" t="str" cm="1">
        <f t="array" ref="F455">_xlfn.IFS(J455&lt;3000,$R$3,J455&lt;5000,$R$4,J455&lt;10000,$R$5,J455&gt;10000,$R$6)</f>
        <v>$0 a $3.000</v>
      </c>
      <c r="G455" s="4" t="s">
        <v>493</v>
      </c>
      <c r="H455" s="7" t="s">
        <v>79</v>
      </c>
      <c r="I455" s="8">
        <v>6409.2250000000004</v>
      </c>
      <c r="J455" s="9">
        <v>0</v>
      </c>
      <c r="K455" s="9">
        <v>0</v>
      </c>
      <c r="L455" s="10"/>
    </row>
    <row r="456" spans="1:12" ht="13" x14ac:dyDescent="0.3">
      <c r="A456" s="5" t="s">
        <v>593</v>
      </c>
      <c r="B456" s="5" t="s">
        <v>614</v>
      </c>
      <c r="C456" s="5" t="s">
        <v>393</v>
      </c>
      <c r="D456" s="5" t="s">
        <v>393</v>
      </c>
      <c r="E456" s="5" t="s">
        <v>478</v>
      </c>
      <c r="F456" s="5" t="str" cm="1">
        <f t="array" ref="F456">_xlfn.IFS(J456&lt;3000,$R$3,J456&lt;5000,$R$4,J456&lt;10000,$R$5,J456&gt;10000,$R$6)</f>
        <v>$0 a $3.000</v>
      </c>
      <c r="G456" s="4" t="s">
        <v>496</v>
      </c>
      <c r="H456" s="7" t="s">
        <v>79</v>
      </c>
      <c r="I456" s="8">
        <v>8157.7337500000012</v>
      </c>
      <c r="J456" s="9">
        <v>0</v>
      </c>
      <c r="K456" s="9">
        <v>0</v>
      </c>
      <c r="L456" s="10"/>
    </row>
    <row r="457" spans="1:12" ht="13" x14ac:dyDescent="0.3">
      <c r="A457" s="5" t="s">
        <v>593</v>
      </c>
      <c r="B457" s="5" t="s">
        <v>614</v>
      </c>
      <c r="C457" s="5" t="s">
        <v>393</v>
      </c>
      <c r="D457" s="5" t="s">
        <v>393</v>
      </c>
      <c r="E457" s="5" t="s">
        <v>478</v>
      </c>
      <c r="F457" s="5" t="str" cm="1">
        <f t="array" ref="F457">_xlfn.IFS(J457&lt;3000,$R$3,J457&lt;5000,$R$4,J457&lt;10000,$R$5,J457&gt;10000,$R$6)</f>
        <v>$10.000 en adelante</v>
      </c>
      <c r="G457" s="4" t="s">
        <v>498</v>
      </c>
      <c r="H457" s="7" t="s">
        <v>79</v>
      </c>
      <c r="I457" s="8">
        <v>10489.071250000001</v>
      </c>
      <c r="J457" s="9">
        <v>15550</v>
      </c>
      <c r="K457" s="9">
        <v>13995</v>
      </c>
      <c r="L457" s="10"/>
    </row>
    <row r="458" spans="1:12" ht="13" x14ac:dyDescent="0.3">
      <c r="A458" s="5" t="s">
        <v>593</v>
      </c>
      <c r="B458" s="5" t="s">
        <v>614</v>
      </c>
      <c r="C458" s="5" t="s">
        <v>393</v>
      </c>
      <c r="D458" s="5" t="s">
        <v>393</v>
      </c>
      <c r="E458" s="5" t="s">
        <v>478</v>
      </c>
      <c r="F458" s="5" t="str" cm="1">
        <f t="array" ref="F458">_xlfn.IFS(J458&lt;3000,$R$3,J458&lt;5000,$R$4,J458&lt;10000,$R$5,J458&gt;10000,$R$6)</f>
        <v>$10.000 en adelante</v>
      </c>
      <c r="G458" s="4" t="s">
        <v>502</v>
      </c>
      <c r="H458" s="7" t="s">
        <v>79</v>
      </c>
      <c r="I458" s="8">
        <v>23235.6384</v>
      </c>
      <c r="J458" s="9">
        <v>34440</v>
      </c>
      <c r="K458" s="9">
        <v>30996</v>
      </c>
      <c r="L458" s="10"/>
    </row>
    <row r="459" spans="1:12" ht="13" x14ac:dyDescent="0.3">
      <c r="A459" s="5"/>
      <c r="B459" s="5"/>
      <c r="C459" s="5"/>
      <c r="D459" s="40"/>
      <c r="E459" s="40"/>
      <c r="F459" s="40"/>
      <c r="G459" s="41"/>
      <c r="H459" s="42"/>
      <c r="I459" s="30"/>
      <c r="J459" s="27"/>
      <c r="K459" s="27"/>
      <c r="L459" s="10"/>
    </row>
    <row r="460" spans="1:12" ht="13" x14ac:dyDescent="0.3">
      <c r="A460" s="5"/>
      <c r="B460" s="5"/>
      <c r="C460" s="5"/>
      <c r="D460" s="40"/>
      <c r="E460" s="40"/>
      <c r="F460" s="40"/>
      <c r="G460" s="41"/>
      <c r="H460" s="42"/>
      <c r="I460" s="30"/>
      <c r="J460" s="27"/>
      <c r="K460" s="27"/>
      <c r="L460" s="10"/>
    </row>
    <row r="461" spans="1:12" ht="13" x14ac:dyDescent="0.3">
      <c r="A461" s="5"/>
      <c r="B461" s="5"/>
      <c r="C461" s="5"/>
      <c r="D461" s="40"/>
      <c r="E461" s="40"/>
      <c r="F461" s="40"/>
      <c r="G461" s="41"/>
      <c r="H461" s="42"/>
      <c r="I461" s="30"/>
      <c r="J461" s="27"/>
      <c r="K461" s="27"/>
      <c r="L461" s="10"/>
    </row>
    <row r="462" spans="1:12" ht="13" x14ac:dyDescent="0.3">
      <c r="A462" s="5"/>
      <c r="B462" s="5"/>
      <c r="C462" s="5"/>
      <c r="D462" s="40"/>
      <c r="E462" s="40"/>
      <c r="F462" s="40"/>
      <c r="G462" s="41"/>
      <c r="H462" s="42"/>
      <c r="I462" s="30"/>
      <c r="J462" s="27"/>
      <c r="K462" s="27"/>
      <c r="L462" s="10"/>
    </row>
    <row r="463" spans="1:12" x14ac:dyDescent="0.25">
      <c r="A463" s="24" t="s">
        <v>10</v>
      </c>
      <c r="B463" s="24" t="s">
        <v>620</v>
      </c>
      <c r="C463" s="5" t="s">
        <v>13</v>
      </c>
      <c r="L463" s="10"/>
    </row>
    <row r="464" spans="1:12" x14ac:dyDescent="0.25">
      <c r="A464" s="24" t="s">
        <v>10</v>
      </c>
      <c r="B464" s="24" t="s">
        <v>620</v>
      </c>
      <c r="C464" s="5" t="s">
        <v>25</v>
      </c>
      <c r="L464" s="10"/>
    </row>
    <row r="465" spans="1:12" x14ac:dyDescent="0.25">
      <c r="A465" s="24" t="s">
        <v>10</v>
      </c>
      <c r="B465" s="24" t="s">
        <v>620</v>
      </c>
      <c r="C465" s="5" t="s">
        <v>42</v>
      </c>
      <c r="L465" s="10"/>
    </row>
    <row r="466" spans="1:12" x14ac:dyDescent="0.25">
      <c r="A466" s="24" t="s">
        <v>10</v>
      </c>
      <c r="B466" s="24" t="s">
        <v>620</v>
      </c>
      <c r="C466" s="5" t="s">
        <v>65</v>
      </c>
      <c r="L466" s="10"/>
    </row>
    <row r="467" spans="1:12" x14ac:dyDescent="0.25">
      <c r="A467" s="24" t="s">
        <v>10</v>
      </c>
      <c r="B467" s="24" t="s">
        <v>620</v>
      </c>
      <c r="C467" s="5" t="s">
        <v>82</v>
      </c>
      <c r="L467" s="10"/>
    </row>
    <row r="468" spans="1:12" x14ac:dyDescent="0.25">
      <c r="A468" s="24" t="s">
        <v>10</v>
      </c>
      <c r="B468" s="24" t="s">
        <v>620</v>
      </c>
      <c r="C468" s="5" t="s">
        <v>85</v>
      </c>
      <c r="L468" s="10"/>
    </row>
    <row r="469" spans="1:12" x14ac:dyDescent="0.25">
      <c r="A469" s="24" t="s">
        <v>10</v>
      </c>
      <c r="B469" s="24" t="s">
        <v>620</v>
      </c>
      <c r="C469" s="5" t="s">
        <v>90</v>
      </c>
      <c r="L469" s="10"/>
    </row>
    <row r="470" spans="1:12" x14ac:dyDescent="0.25">
      <c r="A470" s="24" t="s">
        <v>10</v>
      </c>
      <c r="B470" s="24" t="s">
        <v>620</v>
      </c>
      <c r="C470" s="5" t="s">
        <v>112</v>
      </c>
      <c r="L470" s="10"/>
    </row>
    <row r="471" spans="1:12" x14ac:dyDescent="0.25">
      <c r="A471" s="24" t="s">
        <v>10</v>
      </c>
      <c r="B471" s="24" t="s">
        <v>620</v>
      </c>
      <c r="C471" s="5" t="s">
        <v>120</v>
      </c>
      <c r="L471" s="10"/>
    </row>
    <row r="472" spans="1:12" x14ac:dyDescent="0.25">
      <c r="A472" s="24" t="s">
        <v>10</v>
      </c>
      <c r="B472" s="24" t="s">
        <v>620</v>
      </c>
      <c r="C472" s="5" t="s">
        <v>125</v>
      </c>
      <c r="L472" s="10"/>
    </row>
    <row r="473" spans="1:12" x14ac:dyDescent="0.25">
      <c r="A473" s="24" t="s">
        <v>10</v>
      </c>
      <c r="B473" s="24" t="s">
        <v>620</v>
      </c>
      <c r="C473" s="5" t="s">
        <v>139</v>
      </c>
      <c r="L473" s="10"/>
    </row>
    <row r="474" spans="1:12" x14ac:dyDescent="0.25">
      <c r="A474" s="24" t="s">
        <v>10</v>
      </c>
      <c r="B474" s="24" t="s">
        <v>620</v>
      </c>
      <c r="C474" s="5" t="s">
        <v>149</v>
      </c>
      <c r="L474" s="10"/>
    </row>
    <row r="475" spans="1:12" x14ac:dyDescent="0.25">
      <c r="A475" s="24" t="s">
        <v>10</v>
      </c>
      <c r="B475" s="24" t="s">
        <v>620</v>
      </c>
      <c r="C475" s="5" t="s">
        <v>156</v>
      </c>
      <c r="L475" s="10"/>
    </row>
    <row r="476" spans="1:12" x14ac:dyDescent="0.25">
      <c r="A476" s="24" t="s">
        <v>10</v>
      </c>
      <c r="B476" s="24" t="s">
        <v>620</v>
      </c>
      <c r="C476" s="5" t="s">
        <v>163</v>
      </c>
      <c r="L476" s="10"/>
    </row>
    <row r="477" spans="1:12" x14ac:dyDescent="0.25">
      <c r="A477" s="24" t="s">
        <v>10</v>
      </c>
      <c r="B477" s="24" t="s">
        <v>620</v>
      </c>
      <c r="C477" s="5" t="s">
        <v>621</v>
      </c>
      <c r="L477" s="10"/>
    </row>
    <row r="478" spans="1:12" x14ac:dyDescent="0.25">
      <c r="A478" s="24" t="s">
        <v>10</v>
      </c>
      <c r="B478" s="24" t="s">
        <v>620</v>
      </c>
      <c r="C478" s="5" t="s">
        <v>172</v>
      </c>
      <c r="L478" s="10"/>
    </row>
    <row r="479" spans="1:12" x14ac:dyDescent="0.25">
      <c r="A479" s="24" t="s">
        <v>10</v>
      </c>
      <c r="B479" s="24" t="s">
        <v>620</v>
      </c>
      <c r="C479" s="5" t="s">
        <v>177</v>
      </c>
      <c r="L479" s="10"/>
    </row>
    <row r="480" spans="1:12" x14ac:dyDescent="0.25">
      <c r="A480" s="24" t="s">
        <v>10</v>
      </c>
      <c r="B480" s="24" t="s">
        <v>620</v>
      </c>
      <c r="C480" s="5" t="s">
        <v>183</v>
      </c>
      <c r="L480" s="10"/>
    </row>
    <row r="481" spans="1:12" x14ac:dyDescent="0.25">
      <c r="A481" s="24" t="s">
        <v>10</v>
      </c>
      <c r="B481" s="24" t="s">
        <v>620</v>
      </c>
      <c r="C481" s="5" t="s">
        <v>196</v>
      </c>
      <c r="L481" s="10"/>
    </row>
    <row r="482" spans="1:12" x14ac:dyDescent="0.25">
      <c r="A482" s="24" t="s">
        <v>10</v>
      </c>
      <c r="B482" s="24" t="s">
        <v>620</v>
      </c>
      <c r="C482" s="5" t="s">
        <v>198</v>
      </c>
      <c r="L482" s="10"/>
    </row>
    <row r="483" spans="1:12" x14ac:dyDescent="0.25">
      <c r="A483" s="24" t="s">
        <v>10</v>
      </c>
      <c r="B483" s="24" t="s">
        <v>620</v>
      </c>
      <c r="C483" s="5" t="s">
        <v>205</v>
      </c>
      <c r="L483" s="10"/>
    </row>
    <row r="484" spans="1:12" x14ac:dyDescent="0.25">
      <c r="A484" s="24" t="s">
        <v>10</v>
      </c>
      <c r="B484" s="24" t="s">
        <v>620</v>
      </c>
      <c r="C484" s="5" t="s">
        <v>217</v>
      </c>
      <c r="L484" s="10"/>
    </row>
    <row r="485" spans="1:12" x14ac:dyDescent="0.25">
      <c r="A485" s="24" t="s">
        <v>10</v>
      </c>
      <c r="B485" s="24" t="s">
        <v>620</v>
      </c>
      <c r="C485" s="5" t="s">
        <v>228</v>
      </c>
      <c r="L485" s="10"/>
    </row>
    <row r="486" spans="1:12" x14ac:dyDescent="0.25">
      <c r="A486" s="24" t="s">
        <v>10</v>
      </c>
      <c r="B486" s="24" t="s">
        <v>620</v>
      </c>
      <c r="C486" s="5" t="s">
        <v>243</v>
      </c>
      <c r="L486" s="10"/>
    </row>
    <row r="487" spans="1:12" x14ac:dyDescent="0.25">
      <c r="A487" s="24" t="s">
        <v>10</v>
      </c>
      <c r="B487" s="24" t="s">
        <v>620</v>
      </c>
      <c r="C487" s="5" t="s">
        <v>252</v>
      </c>
      <c r="L487" s="10"/>
    </row>
    <row r="488" spans="1:12" x14ac:dyDescent="0.25">
      <c r="A488" s="24" t="s">
        <v>10</v>
      </c>
      <c r="B488" s="24" t="s">
        <v>620</v>
      </c>
      <c r="C488" s="5" t="s">
        <v>274</v>
      </c>
      <c r="L488" s="10"/>
    </row>
    <row r="489" spans="1:12" x14ac:dyDescent="0.25">
      <c r="A489" s="24" t="s">
        <v>10</v>
      </c>
      <c r="B489" s="24" t="s">
        <v>620</v>
      </c>
      <c r="C489" s="5" t="s">
        <v>295</v>
      </c>
      <c r="L489" s="10"/>
    </row>
    <row r="490" spans="1:12" x14ac:dyDescent="0.25">
      <c r="A490" s="24" t="s">
        <v>10</v>
      </c>
      <c r="B490" s="24" t="s">
        <v>620</v>
      </c>
      <c r="C490" s="5" t="s">
        <v>318</v>
      </c>
      <c r="L490" s="10"/>
    </row>
    <row r="491" spans="1:12" x14ac:dyDescent="0.25">
      <c r="A491" s="24" t="s">
        <v>10</v>
      </c>
      <c r="B491" s="24" t="s">
        <v>620</v>
      </c>
      <c r="C491" s="5" t="s">
        <v>326</v>
      </c>
      <c r="L491" s="10"/>
    </row>
    <row r="492" spans="1:12" x14ac:dyDescent="0.25">
      <c r="A492" s="24" t="s">
        <v>10</v>
      </c>
      <c r="B492" s="24" t="s">
        <v>620</v>
      </c>
      <c r="C492" s="5" t="s">
        <v>343</v>
      </c>
      <c r="L492" s="10"/>
    </row>
    <row r="493" spans="1:12" x14ac:dyDescent="0.25">
      <c r="A493" s="24" t="s">
        <v>10</v>
      </c>
      <c r="B493" s="24" t="s">
        <v>620</v>
      </c>
      <c r="C493" s="5" t="s">
        <v>350</v>
      </c>
      <c r="L493" s="10"/>
    </row>
    <row r="494" spans="1:12" x14ac:dyDescent="0.25">
      <c r="A494" s="24" t="s">
        <v>10</v>
      </c>
      <c r="B494" s="24" t="s">
        <v>620</v>
      </c>
      <c r="C494" s="5" t="s">
        <v>361</v>
      </c>
      <c r="L494" s="10"/>
    </row>
    <row r="495" spans="1:12" x14ac:dyDescent="0.25">
      <c r="A495" s="24" t="s">
        <v>10</v>
      </c>
      <c r="B495" s="24" t="s">
        <v>620</v>
      </c>
      <c r="C495" s="5" t="s">
        <v>366</v>
      </c>
      <c r="L495" s="10"/>
    </row>
    <row r="496" spans="1:12" x14ac:dyDescent="0.25">
      <c r="A496" s="24" t="s">
        <v>10</v>
      </c>
      <c r="B496" s="24" t="s">
        <v>620</v>
      </c>
      <c r="C496" s="5" t="s">
        <v>377</v>
      </c>
      <c r="L496" s="10"/>
    </row>
  </sheetData>
  <autoFilter ref="A1:J496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8"/>
  <sheetViews>
    <sheetView topLeftCell="A7" workbookViewId="0">
      <selection activeCell="A34" sqref="A34"/>
    </sheetView>
  </sheetViews>
  <sheetFormatPr baseColWidth="10" defaultRowHeight="12.5" x14ac:dyDescent="0.25"/>
  <cols>
    <col min="1" max="1" width="27.453125" bestFit="1" customWidth="1"/>
    <col min="2" max="2" width="3.81640625" customWidth="1"/>
    <col min="3" max="3" width="17.81640625" bestFit="1" customWidth="1"/>
    <col min="4" max="4" width="3.81640625" customWidth="1"/>
    <col min="5" max="5" width="17.81640625" bestFit="1" customWidth="1"/>
    <col min="6" max="6" width="3.81640625" customWidth="1"/>
    <col min="7" max="7" width="17.81640625" bestFit="1" customWidth="1"/>
    <col min="8" max="8" width="3.81640625" customWidth="1"/>
    <col min="9" max="9" width="22.7265625" bestFit="1" customWidth="1"/>
  </cols>
  <sheetData>
    <row r="5" spans="1:9" x14ac:dyDescent="0.25">
      <c r="A5" t="s">
        <v>622</v>
      </c>
      <c r="C5" t="s">
        <v>623</v>
      </c>
      <c r="E5" t="s">
        <v>624</v>
      </c>
      <c r="G5" t="s">
        <v>625</v>
      </c>
      <c r="I5" t="s">
        <v>626</v>
      </c>
    </row>
    <row r="7" spans="1:9" x14ac:dyDescent="0.25">
      <c r="A7" s="19" t="s">
        <v>617</v>
      </c>
      <c r="C7" s="19" t="s">
        <v>617</v>
      </c>
      <c r="E7" s="19" t="s">
        <v>617</v>
      </c>
      <c r="G7" s="19" t="s">
        <v>617</v>
      </c>
      <c r="I7" s="19" t="s">
        <v>617</v>
      </c>
    </row>
    <row r="8" spans="1:9" x14ac:dyDescent="0.25">
      <c r="A8" s="20" t="s">
        <v>10</v>
      </c>
      <c r="C8" s="20" t="s">
        <v>461</v>
      </c>
      <c r="E8" s="20" t="s">
        <v>391</v>
      </c>
      <c r="G8" s="20" t="s">
        <v>554</v>
      </c>
      <c r="I8" s="20" t="s">
        <v>593</v>
      </c>
    </row>
    <row r="9" spans="1:9" x14ac:dyDescent="0.25">
      <c r="A9" s="21" t="s">
        <v>11</v>
      </c>
      <c r="C9" s="21" t="s">
        <v>23</v>
      </c>
      <c r="E9" s="21" t="s">
        <v>414</v>
      </c>
      <c r="G9" s="21" t="s">
        <v>10</v>
      </c>
      <c r="I9" s="21" t="s">
        <v>10</v>
      </c>
    </row>
    <row r="10" spans="1:9" x14ac:dyDescent="0.25">
      <c r="A10" s="22" t="s">
        <v>23</v>
      </c>
      <c r="C10" s="21" t="s">
        <v>512</v>
      </c>
      <c r="E10" s="21" t="s">
        <v>392</v>
      </c>
      <c r="G10" s="21" t="s">
        <v>391</v>
      </c>
      <c r="I10" s="21" t="s">
        <v>614</v>
      </c>
    </row>
    <row r="11" spans="1:9" x14ac:dyDescent="0.25">
      <c r="A11" s="22" t="s">
        <v>70</v>
      </c>
      <c r="C11" s="21" t="s">
        <v>618</v>
      </c>
      <c r="E11" s="21" t="s">
        <v>423</v>
      </c>
      <c r="G11" s="20" t="s">
        <v>616</v>
      </c>
      <c r="I11" s="20" t="s">
        <v>616</v>
      </c>
    </row>
    <row r="12" spans="1:9" x14ac:dyDescent="0.25">
      <c r="A12" s="22" t="s">
        <v>24</v>
      </c>
      <c r="C12" s="20" t="s">
        <v>616</v>
      </c>
      <c r="E12" s="21" t="s">
        <v>435</v>
      </c>
    </row>
    <row r="13" spans="1:9" x14ac:dyDescent="0.25">
      <c r="A13" s="22" t="s">
        <v>12</v>
      </c>
      <c r="E13" s="21" t="s">
        <v>456</v>
      </c>
    </row>
    <row r="14" spans="1:9" x14ac:dyDescent="0.25">
      <c r="A14" s="22" t="s">
        <v>269</v>
      </c>
      <c r="E14" s="21" t="s">
        <v>431</v>
      </c>
    </row>
    <row r="15" spans="1:9" x14ac:dyDescent="0.25">
      <c r="A15" s="22" t="s">
        <v>17</v>
      </c>
      <c r="E15" s="20" t="s">
        <v>616</v>
      </c>
    </row>
    <row r="16" spans="1:9" x14ac:dyDescent="0.25">
      <c r="A16" s="22" t="s">
        <v>60</v>
      </c>
    </row>
    <row r="17" spans="1:1" x14ac:dyDescent="0.25">
      <c r="A17" s="22" t="s">
        <v>37</v>
      </c>
    </row>
    <row r="18" spans="1:1" x14ac:dyDescent="0.25">
      <c r="A18" s="22" t="s">
        <v>107</v>
      </c>
    </row>
    <row r="19" spans="1:1" x14ac:dyDescent="0.25">
      <c r="A19" s="22" t="s">
        <v>161</v>
      </c>
    </row>
    <row r="20" spans="1:1" x14ac:dyDescent="0.25">
      <c r="A20" s="22" t="s">
        <v>130</v>
      </c>
    </row>
    <row r="21" spans="1:1" x14ac:dyDescent="0.25">
      <c r="A21" s="22" t="s">
        <v>171</v>
      </c>
    </row>
    <row r="22" spans="1:1" x14ac:dyDescent="0.25">
      <c r="A22" s="22" t="s">
        <v>615</v>
      </c>
    </row>
    <row r="23" spans="1:1" x14ac:dyDescent="0.25">
      <c r="A23" s="21" t="s">
        <v>19</v>
      </c>
    </row>
    <row r="24" spans="1:1" x14ac:dyDescent="0.25">
      <c r="A24" s="22" t="s">
        <v>23</v>
      </c>
    </row>
    <row r="25" spans="1:1" x14ac:dyDescent="0.25">
      <c r="A25" s="22" t="s">
        <v>20</v>
      </c>
    </row>
    <row r="26" spans="1:1" x14ac:dyDescent="0.25">
      <c r="A26" s="22" t="s">
        <v>266</v>
      </c>
    </row>
    <row r="27" spans="1:1" x14ac:dyDescent="0.25">
      <c r="A27" s="22" t="s">
        <v>17</v>
      </c>
    </row>
    <row r="28" spans="1:1" x14ac:dyDescent="0.25">
      <c r="A28" s="22" t="s">
        <v>22</v>
      </c>
    </row>
    <row r="29" spans="1:1" x14ac:dyDescent="0.25">
      <c r="A29" s="22" t="s">
        <v>171</v>
      </c>
    </row>
    <row r="30" spans="1:1" x14ac:dyDescent="0.25">
      <c r="A30" s="22" t="s">
        <v>615</v>
      </c>
    </row>
    <row r="31" spans="1:1" x14ac:dyDescent="0.25">
      <c r="A31" s="21" t="s">
        <v>28</v>
      </c>
    </row>
    <row r="32" spans="1:1" x14ac:dyDescent="0.25">
      <c r="A32" s="21" t="s">
        <v>354</v>
      </c>
    </row>
    <row r="33" spans="1:1" x14ac:dyDescent="0.25">
      <c r="A33" s="21" t="s">
        <v>620</v>
      </c>
    </row>
    <row r="34" spans="1:1" x14ac:dyDescent="0.25">
      <c r="A34" s="22" t="s">
        <v>42</v>
      </c>
    </row>
    <row r="35" spans="1:1" x14ac:dyDescent="0.25">
      <c r="A35" s="22" t="s">
        <v>65</v>
      </c>
    </row>
    <row r="36" spans="1:1" x14ac:dyDescent="0.25">
      <c r="A36" s="22" t="s">
        <v>25</v>
      </c>
    </row>
    <row r="37" spans="1:1" x14ac:dyDescent="0.25">
      <c r="A37" s="22" t="s">
        <v>13</v>
      </c>
    </row>
    <row r="38" spans="1:1" x14ac:dyDescent="0.25">
      <c r="A38" s="22" t="s">
        <v>82</v>
      </c>
    </row>
    <row r="39" spans="1:1" x14ac:dyDescent="0.25">
      <c r="A39" s="22" t="s">
        <v>90</v>
      </c>
    </row>
    <row r="40" spans="1:1" x14ac:dyDescent="0.25">
      <c r="A40" s="22" t="s">
        <v>217</v>
      </c>
    </row>
    <row r="41" spans="1:1" x14ac:dyDescent="0.25">
      <c r="A41" s="22" t="s">
        <v>112</v>
      </c>
    </row>
    <row r="42" spans="1:1" x14ac:dyDescent="0.25">
      <c r="A42" s="22" t="s">
        <v>177</v>
      </c>
    </row>
    <row r="43" spans="1:1" x14ac:dyDescent="0.25">
      <c r="A43" s="22" t="s">
        <v>139</v>
      </c>
    </row>
    <row r="44" spans="1:1" x14ac:dyDescent="0.25">
      <c r="A44" s="22" t="s">
        <v>85</v>
      </c>
    </row>
    <row r="45" spans="1:1" x14ac:dyDescent="0.25">
      <c r="A45" s="22" t="s">
        <v>274</v>
      </c>
    </row>
    <row r="46" spans="1:1" x14ac:dyDescent="0.25">
      <c r="A46" s="22" t="s">
        <v>295</v>
      </c>
    </row>
    <row r="47" spans="1:1" x14ac:dyDescent="0.25">
      <c r="A47" s="22" t="s">
        <v>318</v>
      </c>
    </row>
    <row r="48" spans="1:1" x14ac:dyDescent="0.25">
      <c r="A48" s="22" t="s">
        <v>326</v>
      </c>
    </row>
    <row r="49" spans="1:1" x14ac:dyDescent="0.25">
      <c r="A49" s="22" t="s">
        <v>343</v>
      </c>
    </row>
    <row r="50" spans="1:1" x14ac:dyDescent="0.25">
      <c r="A50" s="22" t="s">
        <v>350</v>
      </c>
    </row>
    <row r="51" spans="1:1" x14ac:dyDescent="0.25">
      <c r="A51" s="22" t="s">
        <v>120</v>
      </c>
    </row>
    <row r="52" spans="1:1" x14ac:dyDescent="0.25">
      <c r="A52" s="22" t="s">
        <v>125</v>
      </c>
    </row>
    <row r="53" spans="1:1" x14ac:dyDescent="0.25">
      <c r="A53" s="22" t="s">
        <v>149</v>
      </c>
    </row>
    <row r="54" spans="1:1" x14ac:dyDescent="0.25">
      <c r="A54" s="22" t="s">
        <v>156</v>
      </c>
    </row>
    <row r="55" spans="1:1" x14ac:dyDescent="0.25">
      <c r="A55" s="22" t="s">
        <v>163</v>
      </c>
    </row>
    <row r="56" spans="1:1" x14ac:dyDescent="0.25">
      <c r="A56" s="22" t="s">
        <v>172</v>
      </c>
    </row>
    <row r="57" spans="1:1" x14ac:dyDescent="0.25">
      <c r="A57" s="22" t="s">
        <v>183</v>
      </c>
    </row>
    <row r="58" spans="1:1" x14ac:dyDescent="0.25">
      <c r="A58" s="22" t="s">
        <v>196</v>
      </c>
    </row>
    <row r="59" spans="1:1" x14ac:dyDescent="0.25">
      <c r="A59" s="22" t="s">
        <v>198</v>
      </c>
    </row>
    <row r="60" spans="1:1" x14ac:dyDescent="0.25">
      <c r="A60" s="22" t="s">
        <v>205</v>
      </c>
    </row>
    <row r="61" spans="1:1" x14ac:dyDescent="0.25">
      <c r="A61" s="22" t="s">
        <v>228</v>
      </c>
    </row>
    <row r="62" spans="1:1" x14ac:dyDescent="0.25">
      <c r="A62" s="22" t="s">
        <v>243</v>
      </c>
    </row>
    <row r="63" spans="1:1" x14ac:dyDescent="0.25">
      <c r="A63" s="22" t="s">
        <v>252</v>
      </c>
    </row>
    <row r="64" spans="1:1" x14ac:dyDescent="0.25">
      <c r="A64" s="22" t="s">
        <v>361</v>
      </c>
    </row>
    <row r="65" spans="1:1" x14ac:dyDescent="0.25">
      <c r="A65" s="22" t="s">
        <v>366</v>
      </c>
    </row>
    <row r="66" spans="1:1" x14ac:dyDescent="0.25">
      <c r="A66" s="22" t="s">
        <v>377</v>
      </c>
    </row>
    <row r="67" spans="1:1" x14ac:dyDescent="0.25">
      <c r="A67" s="22" t="s">
        <v>621</v>
      </c>
    </row>
    <row r="68" spans="1:1" x14ac:dyDescent="0.25">
      <c r="A68" s="20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91"/>
  <sheetViews>
    <sheetView workbookViewId="0">
      <selection activeCell="G10" sqref="G10"/>
    </sheetView>
  </sheetViews>
  <sheetFormatPr baseColWidth="10" defaultRowHeight="12.5" x14ac:dyDescent="0.25"/>
  <cols>
    <col min="1" max="1" width="17.81640625" bestFit="1" customWidth="1"/>
    <col min="2" max="2" width="3.81640625" customWidth="1"/>
    <col min="3" max="3" width="27.453125" bestFit="1" customWidth="1"/>
    <col min="4" max="4" width="3.81640625" customWidth="1"/>
    <col min="5" max="5" width="22.26953125" bestFit="1" customWidth="1"/>
    <col min="6" max="6" width="3.81640625" customWidth="1"/>
    <col min="7" max="7" width="21.26953125" bestFit="1" customWidth="1"/>
    <col min="8" max="8" width="3.81640625" customWidth="1"/>
    <col min="9" max="9" width="29.26953125" bestFit="1" customWidth="1"/>
    <col min="10" max="11" width="23" bestFit="1" customWidth="1"/>
    <col min="12" max="12" width="13.1796875" bestFit="1" customWidth="1"/>
  </cols>
  <sheetData>
    <row r="5" spans="1:9" x14ac:dyDescent="0.25">
      <c r="A5" t="s">
        <v>619</v>
      </c>
      <c r="C5" s="23" t="s">
        <v>627</v>
      </c>
      <c r="E5" s="23" t="s">
        <v>628</v>
      </c>
      <c r="G5" s="23" t="s">
        <v>630</v>
      </c>
      <c r="I5" s="23" t="s">
        <v>629</v>
      </c>
    </row>
    <row r="7" spans="1:9" x14ac:dyDescent="0.25">
      <c r="A7" s="19" t="s">
        <v>617</v>
      </c>
      <c r="C7" s="19" t="s">
        <v>617</v>
      </c>
      <c r="E7" s="19" t="s">
        <v>617</v>
      </c>
      <c r="G7" s="19" t="s">
        <v>617</v>
      </c>
      <c r="I7" s="19" t="s">
        <v>617</v>
      </c>
    </row>
    <row r="8" spans="1:9" x14ac:dyDescent="0.25">
      <c r="A8" s="20" t="s">
        <v>10</v>
      </c>
      <c r="C8" s="20" t="s">
        <v>10</v>
      </c>
      <c r="E8" s="20" t="s">
        <v>10</v>
      </c>
      <c r="G8" s="20" t="s">
        <v>10</v>
      </c>
      <c r="I8" s="20" t="s">
        <v>10</v>
      </c>
    </row>
    <row r="9" spans="1:9" x14ac:dyDescent="0.25">
      <c r="A9" s="21" t="s">
        <v>11</v>
      </c>
      <c r="C9" s="21" t="s">
        <v>11</v>
      </c>
      <c r="E9" s="21" t="s">
        <v>217</v>
      </c>
      <c r="G9" s="21" t="s">
        <v>16</v>
      </c>
      <c r="I9" s="21" t="s">
        <v>224</v>
      </c>
    </row>
    <row r="10" spans="1:9" x14ac:dyDescent="0.25">
      <c r="A10" s="21" t="s">
        <v>19</v>
      </c>
      <c r="C10" s="22" t="s">
        <v>23</v>
      </c>
      <c r="E10" s="21" t="s">
        <v>196</v>
      </c>
      <c r="G10" s="21" t="s">
        <v>640</v>
      </c>
      <c r="I10" s="21" t="s">
        <v>347</v>
      </c>
    </row>
    <row r="11" spans="1:9" x14ac:dyDescent="0.25">
      <c r="A11" s="21" t="s">
        <v>28</v>
      </c>
      <c r="C11" s="22" t="s">
        <v>70</v>
      </c>
      <c r="E11" s="21" t="s">
        <v>183</v>
      </c>
      <c r="G11" s="21" t="s">
        <v>641</v>
      </c>
      <c r="I11" s="21" t="s">
        <v>86</v>
      </c>
    </row>
    <row r="12" spans="1:9" x14ac:dyDescent="0.25">
      <c r="A12" s="21" t="s">
        <v>354</v>
      </c>
      <c r="C12" s="22" t="s">
        <v>24</v>
      </c>
      <c r="E12" s="21" t="s">
        <v>42</v>
      </c>
      <c r="G12" s="21" t="s">
        <v>642</v>
      </c>
      <c r="I12" s="21" t="s">
        <v>327</v>
      </c>
    </row>
    <row r="13" spans="1:9" x14ac:dyDescent="0.25">
      <c r="A13" s="20" t="s">
        <v>616</v>
      </c>
      <c r="C13" s="22" t="s">
        <v>12</v>
      </c>
      <c r="E13" s="21" t="s">
        <v>82</v>
      </c>
      <c r="G13" s="20" t="s">
        <v>616</v>
      </c>
      <c r="I13" s="21" t="s">
        <v>57</v>
      </c>
    </row>
    <row r="14" spans="1:9" x14ac:dyDescent="0.25">
      <c r="C14" s="22" t="s">
        <v>269</v>
      </c>
      <c r="E14" s="21" t="s">
        <v>366</v>
      </c>
      <c r="I14" s="21" t="s">
        <v>196</v>
      </c>
    </row>
    <row r="15" spans="1:9" x14ac:dyDescent="0.25">
      <c r="C15" s="22" t="s">
        <v>17</v>
      </c>
      <c r="E15" s="21" t="s">
        <v>169</v>
      </c>
      <c r="I15" s="21" t="s">
        <v>144</v>
      </c>
    </row>
    <row r="16" spans="1:9" x14ac:dyDescent="0.25">
      <c r="C16" s="22" t="s">
        <v>60</v>
      </c>
      <c r="E16" s="21" t="s">
        <v>156</v>
      </c>
      <c r="I16" s="21" t="s">
        <v>237</v>
      </c>
    </row>
    <row r="17" spans="3:9" x14ac:dyDescent="0.25">
      <c r="C17" s="22" t="s">
        <v>37</v>
      </c>
      <c r="E17" s="21" t="s">
        <v>252</v>
      </c>
      <c r="I17" s="21" t="s">
        <v>99</v>
      </c>
    </row>
    <row r="18" spans="3:9" x14ac:dyDescent="0.25">
      <c r="C18" s="22" t="s">
        <v>107</v>
      </c>
      <c r="E18" s="21" t="s">
        <v>326</v>
      </c>
      <c r="I18" s="21" t="s">
        <v>376</v>
      </c>
    </row>
    <row r="19" spans="3:9" x14ac:dyDescent="0.25">
      <c r="C19" s="22" t="s">
        <v>161</v>
      </c>
      <c r="E19" s="21" t="s">
        <v>163</v>
      </c>
      <c r="I19" s="21" t="s">
        <v>232</v>
      </c>
    </row>
    <row r="20" spans="3:9" x14ac:dyDescent="0.25">
      <c r="C20" s="22" t="s">
        <v>130</v>
      </c>
      <c r="E20" s="21" t="s">
        <v>65</v>
      </c>
      <c r="I20" s="21" t="s">
        <v>278</v>
      </c>
    </row>
    <row r="21" spans="3:9" x14ac:dyDescent="0.25">
      <c r="C21" s="22" t="s">
        <v>171</v>
      </c>
      <c r="E21" s="21" t="s">
        <v>85</v>
      </c>
      <c r="I21" s="21" t="s">
        <v>117</v>
      </c>
    </row>
    <row r="22" spans="3:9" x14ac:dyDescent="0.25">
      <c r="C22" s="22" t="s">
        <v>615</v>
      </c>
      <c r="E22" s="21" t="s">
        <v>120</v>
      </c>
      <c r="I22" s="21" t="s">
        <v>262</v>
      </c>
    </row>
    <row r="23" spans="3:9" x14ac:dyDescent="0.25">
      <c r="C23" s="21" t="s">
        <v>19</v>
      </c>
      <c r="E23" s="21" t="s">
        <v>318</v>
      </c>
      <c r="I23" s="21" t="s">
        <v>264</v>
      </c>
    </row>
    <row r="24" spans="3:9" x14ac:dyDescent="0.25">
      <c r="C24" s="22" t="s">
        <v>23</v>
      </c>
      <c r="E24" s="21" t="s">
        <v>350</v>
      </c>
      <c r="I24" s="21" t="s">
        <v>96</v>
      </c>
    </row>
    <row r="25" spans="3:9" x14ac:dyDescent="0.25">
      <c r="C25" s="22" t="s">
        <v>20</v>
      </c>
      <c r="E25" s="21" t="s">
        <v>149</v>
      </c>
      <c r="I25" s="21" t="s">
        <v>82</v>
      </c>
    </row>
    <row r="26" spans="3:9" x14ac:dyDescent="0.25">
      <c r="C26" s="22" t="s">
        <v>266</v>
      </c>
      <c r="E26" s="21" t="s">
        <v>90</v>
      </c>
      <c r="I26" s="21" t="s">
        <v>329</v>
      </c>
    </row>
    <row r="27" spans="3:9" x14ac:dyDescent="0.25">
      <c r="C27" s="22" t="s">
        <v>17</v>
      </c>
      <c r="E27" s="21" t="s">
        <v>25</v>
      </c>
      <c r="I27" s="21" t="s">
        <v>83</v>
      </c>
    </row>
    <row r="28" spans="3:9" x14ac:dyDescent="0.25">
      <c r="C28" s="22" t="s">
        <v>22</v>
      </c>
      <c r="E28" s="21" t="s">
        <v>198</v>
      </c>
      <c r="I28" s="21" t="s">
        <v>366</v>
      </c>
    </row>
    <row r="29" spans="3:9" x14ac:dyDescent="0.25">
      <c r="C29" s="22" t="s">
        <v>171</v>
      </c>
      <c r="E29" s="21" t="s">
        <v>177</v>
      </c>
      <c r="I29" s="21" t="s">
        <v>170</v>
      </c>
    </row>
    <row r="30" spans="3:9" x14ac:dyDescent="0.25">
      <c r="C30" s="22" t="s">
        <v>615</v>
      </c>
      <c r="E30" s="21" t="s">
        <v>343</v>
      </c>
      <c r="I30" s="21" t="s">
        <v>115</v>
      </c>
    </row>
    <row r="31" spans="3:9" x14ac:dyDescent="0.25">
      <c r="C31" s="21" t="s">
        <v>28</v>
      </c>
      <c r="E31" s="21" t="s">
        <v>274</v>
      </c>
      <c r="I31" s="21" t="s">
        <v>157</v>
      </c>
    </row>
    <row r="32" spans="3:9" x14ac:dyDescent="0.25">
      <c r="C32" s="21" t="s">
        <v>354</v>
      </c>
      <c r="E32" s="21" t="s">
        <v>377</v>
      </c>
      <c r="I32" s="21" t="s">
        <v>159</v>
      </c>
    </row>
    <row r="33" spans="3:9" x14ac:dyDescent="0.25">
      <c r="C33" s="21" t="s">
        <v>620</v>
      </c>
      <c r="E33" s="21" t="s">
        <v>13</v>
      </c>
      <c r="I33" s="21" t="s">
        <v>234</v>
      </c>
    </row>
    <row r="34" spans="3:9" x14ac:dyDescent="0.25">
      <c r="C34" s="22" t="s">
        <v>13</v>
      </c>
      <c r="E34" s="21" t="s">
        <v>243</v>
      </c>
      <c r="I34" s="21" t="s">
        <v>132</v>
      </c>
    </row>
    <row r="35" spans="3:9" x14ac:dyDescent="0.25">
      <c r="C35" s="22" t="s">
        <v>25</v>
      </c>
      <c r="E35" s="21" t="s">
        <v>139</v>
      </c>
      <c r="I35" s="21" t="s">
        <v>194</v>
      </c>
    </row>
    <row r="36" spans="3:9" x14ac:dyDescent="0.25">
      <c r="C36" s="22" t="s">
        <v>42</v>
      </c>
      <c r="E36" s="21" t="s">
        <v>228</v>
      </c>
      <c r="I36" s="21" t="s">
        <v>314</v>
      </c>
    </row>
    <row r="37" spans="3:9" x14ac:dyDescent="0.25">
      <c r="C37" s="22" t="s">
        <v>65</v>
      </c>
      <c r="E37" s="21" t="s">
        <v>205</v>
      </c>
      <c r="I37" s="21" t="s">
        <v>323</v>
      </c>
    </row>
    <row r="38" spans="3:9" x14ac:dyDescent="0.25">
      <c r="C38" s="22" t="s">
        <v>82</v>
      </c>
      <c r="E38" s="21" t="s">
        <v>295</v>
      </c>
      <c r="I38" s="21" t="s">
        <v>380</v>
      </c>
    </row>
    <row r="39" spans="3:9" x14ac:dyDescent="0.25">
      <c r="C39" s="22" t="s">
        <v>85</v>
      </c>
      <c r="E39" s="21" t="s">
        <v>112</v>
      </c>
      <c r="I39" s="21" t="s">
        <v>91</v>
      </c>
    </row>
    <row r="40" spans="3:9" x14ac:dyDescent="0.25">
      <c r="C40" s="22" t="s">
        <v>90</v>
      </c>
      <c r="E40" s="21" t="s">
        <v>172</v>
      </c>
      <c r="I40" s="21" t="s">
        <v>253</v>
      </c>
    </row>
    <row r="41" spans="3:9" x14ac:dyDescent="0.25">
      <c r="C41" s="22" t="s">
        <v>112</v>
      </c>
      <c r="E41" s="21" t="s">
        <v>125</v>
      </c>
      <c r="I41" s="21" t="s">
        <v>257</v>
      </c>
    </row>
    <row r="42" spans="3:9" x14ac:dyDescent="0.25">
      <c r="C42" s="22" t="s">
        <v>120</v>
      </c>
      <c r="E42" s="21" t="s">
        <v>615</v>
      </c>
      <c r="I42" s="21" t="s">
        <v>52</v>
      </c>
    </row>
    <row r="43" spans="3:9" x14ac:dyDescent="0.25">
      <c r="C43" s="22" t="s">
        <v>125</v>
      </c>
      <c r="E43" s="20" t="s">
        <v>616</v>
      </c>
      <c r="I43" s="21" t="s">
        <v>66</v>
      </c>
    </row>
    <row r="44" spans="3:9" x14ac:dyDescent="0.25">
      <c r="C44" s="22" t="s">
        <v>139</v>
      </c>
      <c r="I44" s="21" t="s">
        <v>326</v>
      </c>
    </row>
    <row r="45" spans="3:9" x14ac:dyDescent="0.25">
      <c r="C45" s="22" t="s">
        <v>149</v>
      </c>
      <c r="I45" s="21" t="s">
        <v>72</v>
      </c>
    </row>
    <row r="46" spans="3:9" x14ac:dyDescent="0.25">
      <c r="C46" s="22" t="s">
        <v>156</v>
      </c>
      <c r="I46" s="21" t="s">
        <v>113</v>
      </c>
    </row>
    <row r="47" spans="3:9" x14ac:dyDescent="0.25">
      <c r="C47" s="22" t="s">
        <v>163</v>
      </c>
      <c r="I47" s="21" t="s">
        <v>331</v>
      </c>
    </row>
    <row r="48" spans="3:9" x14ac:dyDescent="0.25">
      <c r="C48" s="22" t="s">
        <v>172</v>
      </c>
      <c r="I48" s="21" t="s">
        <v>288</v>
      </c>
    </row>
    <row r="49" spans="3:9" x14ac:dyDescent="0.25">
      <c r="C49" s="22" t="s">
        <v>177</v>
      </c>
      <c r="I49" s="21" t="s">
        <v>310</v>
      </c>
    </row>
    <row r="50" spans="3:9" x14ac:dyDescent="0.25">
      <c r="C50" s="22" t="s">
        <v>183</v>
      </c>
      <c r="I50" s="21" t="s">
        <v>356</v>
      </c>
    </row>
    <row r="51" spans="3:9" x14ac:dyDescent="0.25">
      <c r="C51" s="22" t="s">
        <v>196</v>
      </c>
      <c r="I51" s="21" t="s">
        <v>302</v>
      </c>
    </row>
    <row r="52" spans="3:9" x14ac:dyDescent="0.25">
      <c r="C52" s="22" t="s">
        <v>198</v>
      </c>
      <c r="I52" s="21" t="s">
        <v>322</v>
      </c>
    </row>
    <row r="53" spans="3:9" x14ac:dyDescent="0.25">
      <c r="C53" s="22" t="s">
        <v>205</v>
      </c>
      <c r="I53" s="21" t="s">
        <v>229</v>
      </c>
    </row>
    <row r="54" spans="3:9" x14ac:dyDescent="0.25">
      <c r="C54" s="22" t="s">
        <v>217</v>
      </c>
      <c r="I54" s="21" t="s">
        <v>296</v>
      </c>
    </row>
    <row r="55" spans="3:9" x14ac:dyDescent="0.25">
      <c r="C55" s="22" t="s">
        <v>228</v>
      </c>
      <c r="I55" s="21" t="s">
        <v>344</v>
      </c>
    </row>
    <row r="56" spans="3:9" x14ac:dyDescent="0.25">
      <c r="C56" s="22" t="s">
        <v>243</v>
      </c>
      <c r="I56" s="21" t="s">
        <v>240</v>
      </c>
    </row>
    <row r="57" spans="3:9" x14ac:dyDescent="0.25">
      <c r="C57" s="22" t="s">
        <v>252</v>
      </c>
      <c r="I57" s="21" t="s">
        <v>26</v>
      </c>
    </row>
    <row r="58" spans="3:9" x14ac:dyDescent="0.25">
      <c r="C58" s="22" t="s">
        <v>274</v>
      </c>
      <c r="I58" s="21" t="s">
        <v>350</v>
      </c>
    </row>
    <row r="59" spans="3:9" x14ac:dyDescent="0.25">
      <c r="C59" s="22" t="s">
        <v>295</v>
      </c>
      <c r="I59" s="21" t="s">
        <v>364</v>
      </c>
    </row>
    <row r="60" spans="3:9" x14ac:dyDescent="0.25">
      <c r="C60" s="22" t="s">
        <v>318</v>
      </c>
      <c r="I60" s="21" t="s">
        <v>164</v>
      </c>
    </row>
    <row r="61" spans="3:9" x14ac:dyDescent="0.25">
      <c r="C61" s="22" t="s">
        <v>326</v>
      </c>
      <c r="I61" s="21" t="s">
        <v>167</v>
      </c>
    </row>
    <row r="62" spans="3:9" x14ac:dyDescent="0.25">
      <c r="C62" s="22" t="s">
        <v>343</v>
      </c>
      <c r="I62" s="21" t="s">
        <v>153</v>
      </c>
    </row>
    <row r="63" spans="3:9" x14ac:dyDescent="0.25">
      <c r="C63" s="22" t="s">
        <v>350</v>
      </c>
      <c r="I63" s="21" t="s">
        <v>150</v>
      </c>
    </row>
    <row r="64" spans="3:9" x14ac:dyDescent="0.25">
      <c r="C64" s="22" t="s">
        <v>361</v>
      </c>
      <c r="I64" s="21" t="s">
        <v>188</v>
      </c>
    </row>
    <row r="65" spans="3:9" x14ac:dyDescent="0.25">
      <c r="C65" s="22" t="s">
        <v>366</v>
      </c>
      <c r="I65" s="21" t="s">
        <v>216</v>
      </c>
    </row>
    <row r="66" spans="3:9" x14ac:dyDescent="0.25">
      <c r="C66" s="22" t="s">
        <v>377</v>
      </c>
      <c r="I66" s="21" t="s">
        <v>101</v>
      </c>
    </row>
    <row r="67" spans="3:9" x14ac:dyDescent="0.25">
      <c r="C67" s="22" t="s">
        <v>621</v>
      </c>
      <c r="I67" s="21" t="s">
        <v>39</v>
      </c>
    </row>
    <row r="68" spans="3:9" x14ac:dyDescent="0.25">
      <c r="C68" s="20" t="s">
        <v>616</v>
      </c>
      <c r="I68" s="21" t="s">
        <v>32</v>
      </c>
    </row>
    <row r="69" spans="3:9" x14ac:dyDescent="0.25">
      <c r="I69" s="21" t="s">
        <v>290</v>
      </c>
    </row>
    <row r="70" spans="3:9" x14ac:dyDescent="0.25">
      <c r="I70" s="21" t="s">
        <v>80</v>
      </c>
    </row>
    <row r="71" spans="3:9" x14ac:dyDescent="0.25">
      <c r="I71" s="21" t="s">
        <v>236</v>
      </c>
    </row>
    <row r="72" spans="3:9" x14ac:dyDescent="0.25">
      <c r="I72" s="21" t="s">
        <v>198</v>
      </c>
    </row>
    <row r="73" spans="3:9" x14ac:dyDescent="0.25">
      <c r="I73" s="21" t="s">
        <v>202</v>
      </c>
    </row>
    <row r="74" spans="3:9" x14ac:dyDescent="0.25">
      <c r="I74" s="21" t="s">
        <v>204</v>
      </c>
    </row>
    <row r="75" spans="3:9" x14ac:dyDescent="0.25">
      <c r="I75" s="21" t="s">
        <v>306</v>
      </c>
    </row>
    <row r="76" spans="3:9" x14ac:dyDescent="0.25">
      <c r="I76" s="21" t="s">
        <v>218</v>
      </c>
    </row>
    <row r="77" spans="3:9" x14ac:dyDescent="0.25">
      <c r="I77" s="21" t="s">
        <v>388</v>
      </c>
    </row>
    <row r="78" spans="3:9" x14ac:dyDescent="0.25">
      <c r="I78" s="21" t="s">
        <v>184</v>
      </c>
    </row>
    <row r="79" spans="3:9" x14ac:dyDescent="0.25">
      <c r="I79" s="21" t="s">
        <v>321</v>
      </c>
    </row>
    <row r="80" spans="3:9" x14ac:dyDescent="0.25">
      <c r="I80" s="21" t="s">
        <v>178</v>
      </c>
    </row>
    <row r="81" spans="9:9" x14ac:dyDescent="0.25">
      <c r="I81" s="21" t="s">
        <v>43</v>
      </c>
    </row>
    <row r="82" spans="9:9" x14ac:dyDescent="0.25">
      <c r="I82" s="21" t="s">
        <v>110</v>
      </c>
    </row>
    <row r="83" spans="9:9" x14ac:dyDescent="0.25">
      <c r="I83" s="21" t="s">
        <v>78</v>
      </c>
    </row>
    <row r="84" spans="9:9" x14ac:dyDescent="0.25">
      <c r="I84" s="21" t="s">
        <v>247</v>
      </c>
    </row>
    <row r="85" spans="9:9" x14ac:dyDescent="0.25">
      <c r="I85" s="21" t="s">
        <v>335</v>
      </c>
    </row>
    <row r="86" spans="9:9" x14ac:dyDescent="0.25">
      <c r="I86" s="21" t="s">
        <v>292</v>
      </c>
    </row>
    <row r="87" spans="9:9" x14ac:dyDescent="0.25">
      <c r="I87" s="21" t="s">
        <v>284</v>
      </c>
    </row>
    <row r="88" spans="9:9" x14ac:dyDescent="0.25">
      <c r="I88" s="21" t="s">
        <v>275</v>
      </c>
    </row>
    <row r="89" spans="9:9" x14ac:dyDescent="0.25">
      <c r="I89" s="21" t="s">
        <v>281</v>
      </c>
    </row>
    <row r="90" spans="9:9" x14ac:dyDescent="0.25">
      <c r="I90" s="21" t="s">
        <v>121</v>
      </c>
    </row>
    <row r="91" spans="9:9" x14ac:dyDescent="0.25">
      <c r="I91" s="21" t="s">
        <v>98</v>
      </c>
    </row>
    <row r="92" spans="9:9" x14ac:dyDescent="0.25">
      <c r="I92" s="21" t="s">
        <v>192</v>
      </c>
    </row>
    <row r="93" spans="9:9" x14ac:dyDescent="0.25">
      <c r="I93" s="21" t="s">
        <v>182</v>
      </c>
    </row>
    <row r="94" spans="9:9" x14ac:dyDescent="0.25">
      <c r="I94" s="21" t="s">
        <v>134</v>
      </c>
    </row>
    <row r="95" spans="9:9" x14ac:dyDescent="0.25">
      <c r="I95" s="21" t="s">
        <v>250</v>
      </c>
    </row>
    <row r="96" spans="9:9" x14ac:dyDescent="0.25">
      <c r="I96" s="21" t="s">
        <v>190</v>
      </c>
    </row>
    <row r="97" spans="9:9" x14ac:dyDescent="0.25">
      <c r="I97" s="21" t="s">
        <v>267</v>
      </c>
    </row>
    <row r="98" spans="9:9" x14ac:dyDescent="0.25">
      <c r="I98" s="21" t="s">
        <v>222</v>
      </c>
    </row>
    <row r="99" spans="9:9" x14ac:dyDescent="0.25">
      <c r="I99" s="21" t="s">
        <v>377</v>
      </c>
    </row>
    <row r="100" spans="9:9" x14ac:dyDescent="0.25">
      <c r="I100" s="21" t="s">
        <v>21</v>
      </c>
    </row>
    <row r="101" spans="9:9" x14ac:dyDescent="0.25">
      <c r="I101" s="21" t="s">
        <v>319</v>
      </c>
    </row>
    <row r="102" spans="9:9" x14ac:dyDescent="0.25">
      <c r="I102" s="21" t="s">
        <v>47</v>
      </c>
    </row>
    <row r="103" spans="9:9" x14ac:dyDescent="0.25">
      <c r="I103" s="21" t="s">
        <v>244</v>
      </c>
    </row>
    <row r="104" spans="9:9" x14ac:dyDescent="0.25">
      <c r="I104" s="21" t="s">
        <v>173</v>
      </c>
    </row>
    <row r="105" spans="9:9" x14ac:dyDescent="0.25">
      <c r="I105" s="21" t="s">
        <v>180</v>
      </c>
    </row>
    <row r="106" spans="9:9" x14ac:dyDescent="0.25">
      <c r="I106" s="21" t="s">
        <v>346</v>
      </c>
    </row>
    <row r="107" spans="9:9" x14ac:dyDescent="0.25">
      <c r="I107" s="21" t="s">
        <v>88</v>
      </c>
    </row>
    <row r="108" spans="9:9" x14ac:dyDescent="0.25">
      <c r="I108" s="21" t="s">
        <v>140</v>
      </c>
    </row>
    <row r="109" spans="9:9" x14ac:dyDescent="0.25">
      <c r="I109" s="21" t="s">
        <v>374</v>
      </c>
    </row>
    <row r="110" spans="9:9" x14ac:dyDescent="0.25">
      <c r="I110" s="21" t="s">
        <v>345</v>
      </c>
    </row>
    <row r="111" spans="9:9" x14ac:dyDescent="0.25">
      <c r="I111" s="21" t="s">
        <v>146</v>
      </c>
    </row>
    <row r="112" spans="9:9" x14ac:dyDescent="0.25">
      <c r="I112" s="21" t="s">
        <v>209</v>
      </c>
    </row>
    <row r="113" spans="9:9" x14ac:dyDescent="0.25">
      <c r="I113" s="21" t="s">
        <v>214</v>
      </c>
    </row>
    <row r="114" spans="9:9" x14ac:dyDescent="0.25">
      <c r="I114" s="21" t="s">
        <v>206</v>
      </c>
    </row>
    <row r="115" spans="9:9" x14ac:dyDescent="0.25">
      <c r="I115" s="21" t="s">
        <v>212</v>
      </c>
    </row>
    <row r="116" spans="9:9" x14ac:dyDescent="0.25">
      <c r="I116" s="21" t="s">
        <v>299</v>
      </c>
    </row>
    <row r="117" spans="9:9" x14ac:dyDescent="0.25">
      <c r="I117" s="21" t="s">
        <v>14</v>
      </c>
    </row>
    <row r="118" spans="9:9" x14ac:dyDescent="0.25">
      <c r="I118" s="21" t="s">
        <v>359</v>
      </c>
    </row>
    <row r="119" spans="9:9" x14ac:dyDescent="0.25">
      <c r="I119" s="21" t="s">
        <v>382</v>
      </c>
    </row>
    <row r="120" spans="9:9" x14ac:dyDescent="0.25">
      <c r="I120" s="21" t="s">
        <v>172</v>
      </c>
    </row>
    <row r="121" spans="9:9" x14ac:dyDescent="0.25">
      <c r="I121" s="21" t="s">
        <v>126</v>
      </c>
    </row>
    <row r="122" spans="9:9" x14ac:dyDescent="0.25">
      <c r="I122" s="21" t="s">
        <v>615</v>
      </c>
    </row>
    <row r="123" spans="9:9" x14ac:dyDescent="0.25">
      <c r="I123" s="20" t="s">
        <v>461</v>
      </c>
    </row>
    <row r="124" spans="9:9" x14ac:dyDescent="0.25">
      <c r="I124" s="21" t="s">
        <v>513</v>
      </c>
    </row>
    <row r="125" spans="9:9" x14ac:dyDescent="0.25">
      <c r="I125" s="21" t="s">
        <v>470</v>
      </c>
    </row>
    <row r="126" spans="9:9" x14ac:dyDescent="0.25">
      <c r="I126" s="21" t="s">
        <v>472</v>
      </c>
    </row>
    <row r="127" spans="9:9" x14ac:dyDescent="0.25">
      <c r="I127" s="21" t="s">
        <v>544</v>
      </c>
    </row>
    <row r="128" spans="9:9" x14ac:dyDescent="0.25">
      <c r="I128" s="21" t="s">
        <v>542</v>
      </c>
    </row>
    <row r="129" spans="9:9" x14ac:dyDescent="0.25">
      <c r="I129" s="21" t="s">
        <v>504</v>
      </c>
    </row>
    <row r="130" spans="9:9" x14ac:dyDescent="0.25">
      <c r="I130" s="21" t="s">
        <v>552</v>
      </c>
    </row>
    <row r="131" spans="9:9" x14ac:dyDescent="0.25">
      <c r="I131" s="21" t="s">
        <v>546</v>
      </c>
    </row>
    <row r="132" spans="9:9" x14ac:dyDescent="0.25">
      <c r="I132" s="21" t="s">
        <v>548</v>
      </c>
    </row>
    <row r="133" spans="9:9" x14ac:dyDescent="0.25">
      <c r="I133" s="21" t="s">
        <v>523</v>
      </c>
    </row>
    <row r="134" spans="9:9" x14ac:dyDescent="0.25">
      <c r="I134" s="21" t="s">
        <v>550</v>
      </c>
    </row>
    <row r="135" spans="9:9" x14ac:dyDescent="0.25">
      <c r="I135" s="21" t="s">
        <v>531</v>
      </c>
    </row>
    <row r="136" spans="9:9" x14ac:dyDescent="0.25">
      <c r="I136" s="21" t="s">
        <v>462</v>
      </c>
    </row>
    <row r="137" spans="9:9" x14ac:dyDescent="0.25">
      <c r="I137" s="21" t="s">
        <v>474</v>
      </c>
    </row>
    <row r="138" spans="9:9" x14ac:dyDescent="0.25">
      <c r="I138" s="21" t="s">
        <v>464</v>
      </c>
    </row>
    <row r="139" spans="9:9" x14ac:dyDescent="0.25">
      <c r="I139" s="21" t="s">
        <v>478</v>
      </c>
    </row>
    <row r="140" spans="9:9" x14ac:dyDescent="0.25">
      <c r="I140" s="21" t="s">
        <v>534</v>
      </c>
    </row>
    <row r="141" spans="9:9" x14ac:dyDescent="0.25">
      <c r="I141" s="21" t="s">
        <v>533</v>
      </c>
    </row>
    <row r="142" spans="9:9" x14ac:dyDescent="0.25">
      <c r="I142" s="21" t="s">
        <v>477</v>
      </c>
    </row>
    <row r="143" spans="9:9" x14ac:dyDescent="0.25">
      <c r="I143" s="21" t="s">
        <v>469</v>
      </c>
    </row>
    <row r="144" spans="9:9" x14ac:dyDescent="0.25">
      <c r="I144" s="21" t="s">
        <v>529</v>
      </c>
    </row>
    <row r="145" spans="9:9" x14ac:dyDescent="0.25">
      <c r="I145" s="21" t="s">
        <v>536</v>
      </c>
    </row>
    <row r="146" spans="9:9" x14ac:dyDescent="0.25">
      <c r="I146" s="21" t="s">
        <v>540</v>
      </c>
    </row>
    <row r="147" spans="9:9" x14ac:dyDescent="0.25">
      <c r="I147" s="21" t="s">
        <v>515</v>
      </c>
    </row>
    <row r="148" spans="9:9" x14ac:dyDescent="0.25">
      <c r="I148" s="21" t="s">
        <v>520</v>
      </c>
    </row>
    <row r="149" spans="9:9" x14ac:dyDescent="0.25">
      <c r="I149" s="20" t="s">
        <v>391</v>
      </c>
    </row>
    <row r="150" spans="9:9" x14ac:dyDescent="0.25">
      <c r="I150" s="21" t="s">
        <v>443</v>
      </c>
    </row>
    <row r="151" spans="9:9" x14ac:dyDescent="0.25">
      <c r="I151" s="21" t="s">
        <v>418</v>
      </c>
    </row>
    <row r="152" spans="9:9" x14ac:dyDescent="0.25">
      <c r="I152" s="21" t="s">
        <v>415</v>
      </c>
    </row>
    <row r="153" spans="9:9" x14ac:dyDescent="0.25">
      <c r="I153" s="21" t="s">
        <v>394</v>
      </c>
    </row>
    <row r="154" spans="9:9" x14ac:dyDescent="0.25">
      <c r="I154" s="21" t="s">
        <v>404</v>
      </c>
    </row>
    <row r="155" spans="9:9" x14ac:dyDescent="0.25">
      <c r="I155" s="21" t="s">
        <v>402</v>
      </c>
    </row>
    <row r="156" spans="9:9" x14ac:dyDescent="0.25">
      <c r="I156" s="21" t="s">
        <v>432</v>
      </c>
    </row>
    <row r="157" spans="9:9" x14ac:dyDescent="0.25">
      <c r="I157" s="21" t="s">
        <v>412</v>
      </c>
    </row>
    <row r="158" spans="9:9" x14ac:dyDescent="0.25">
      <c r="I158" s="21" t="s">
        <v>454</v>
      </c>
    </row>
    <row r="159" spans="9:9" x14ac:dyDescent="0.25">
      <c r="I159" s="21" t="s">
        <v>424</v>
      </c>
    </row>
    <row r="160" spans="9:9" x14ac:dyDescent="0.25">
      <c r="I160" s="21" t="s">
        <v>407</v>
      </c>
    </row>
    <row r="161" spans="9:9" x14ac:dyDescent="0.25">
      <c r="I161" s="21" t="s">
        <v>457</v>
      </c>
    </row>
    <row r="162" spans="9:9" x14ac:dyDescent="0.25">
      <c r="I162" s="21" t="s">
        <v>420</v>
      </c>
    </row>
    <row r="163" spans="9:9" x14ac:dyDescent="0.25">
      <c r="I163" s="21" t="s">
        <v>452</v>
      </c>
    </row>
    <row r="164" spans="9:9" x14ac:dyDescent="0.25">
      <c r="I164" s="21" t="s">
        <v>405</v>
      </c>
    </row>
    <row r="165" spans="9:9" x14ac:dyDescent="0.25">
      <c r="I165" s="21" t="s">
        <v>409</v>
      </c>
    </row>
    <row r="166" spans="9:9" x14ac:dyDescent="0.25">
      <c r="I166" s="21" t="s">
        <v>422</v>
      </c>
    </row>
    <row r="167" spans="9:9" x14ac:dyDescent="0.25">
      <c r="I167" s="21" t="s">
        <v>436</v>
      </c>
    </row>
    <row r="168" spans="9:9" x14ac:dyDescent="0.25">
      <c r="I168" s="21" t="s">
        <v>400</v>
      </c>
    </row>
    <row r="169" spans="9:9" x14ac:dyDescent="0.25">
      <c r="I169" s="21" t="s">
        <v>427</v>
      </c>
    </row>
    <row r="170" spans="9:9" x14ac:dyDescent="0.25">
      <c r="I170" s="20" t="s">
        <v>554</v>
      </c>
    </row>
    <row r="171" spans="9:9" x14ac:dyDescent="0.25">
      <c r="I171" s="21" t="s">
        <v>443</v>
      </c>
    </row>
    <row r="172" spans="9:9" x14ac:dyDescent="0.25">
      <c r="I172" s="21" t="s">
        <v>412</v>
      </c>
    </row>
    <row r="173" spans="9:9" x14ac:dyDescent="0.25">
      <c r="I173" s="21" t="s">
        <v>407</v>
      </c>
    </row>
    <row r="174" spans="9:9" x14ac:dyDescent="0.25">
      <c r="I174" s="21" t="s">
        <v>420</v>
      </c>
    </row>
    <row r="175" spans="9:9" x14ac:dyDescent="0.25">
      <c r="I175" s="21" t="s">
        <v>478</v>
      </c>
    </row>
    <row r="176" spans="9:9" x14ac:dyDescent="0.25">
      <c r="I176" s="21" t="s">
        <v>409</v>
      </c>
    </row>
    <row r="177" spans="9:9" x14ac:dyDescent="0.25">
      <c r="I177" s="21" t="s">
        <v>393</v>
      </c>
    </row>
    <row r="178" spans="9:9" x14ac:dyDescent="0.25">
      <c r="I178" s="20" t="s">
        <v>593</v>
      </c>
    </row>
    <row r="179" spans="9:9" x14ac:dyDescent="0.25">
      <c r="I179" s="21" t="s">
        <v>86</v>
      </c>
    </row>
    <row r="180" spans="9:9" x14ac:dyDescent="0.25">
      <c r="I180" s="21" t="s">
        <v>57</v>
      </c>
    </row>
    <row r="181" spans="9:9" x14ac:dyDescent="0.25">
      <c r="I181" s="21" t="s">
        <v>117</v>
      </c>
    </row>
    <row r="182" spans="9:9" x14ac:dyDescent="0.25">
      <c r="I182" s="21" t="s">
        <v>83</v>
      </c>
    </row>
    <row r="183" spans="9:9" x14ac:dyDescent="0.25">
      <c r="I183" s="21" t="s">
        <v>72</v>
      </c>
    </row>
    <row r="184" spans="9:9" x14ac:dyDescent="0.25">
      <c r="I184" s="21" t="s">
        <v>478</v>
      </c>
    </row>
    <row r="185" spans="9:9" x14ac:dyDescent="0.25">
      <c r="I185" s="21" t="s">
        <v>362</v>
      </c>
    </row>
    <row r="186" spans="9:9" x14ac:dyDescent="0.25">
      <c r="I186" s="21" t="s">
        <v>80</v>
      </c>
    </row>
    <row r="187" spans="9:9" x14ac:dyDescent="0.25">
      <c r="I187" s="21" t="s">
        <v>393</v>
      </c>
    </row>
    <row r="188" spans="9:9" x14ac:dyDescent="0.25">
      <c r="I188" s="21" t="s">
        <v>78</v>
      </c>
    </row>
    <row r="189" spans="9:9" x14ac:dyDescent="0.25">
      <c r="I189" s="21" t="s">
        <v>172</v>
      </c>
    </row>
    <row r="190" spans="9:9" x14ac:dyDescent="0.25">
      <c r="I190" s="20" t="s">
        <v>615</v>
      </c>
    </row>
    <row r="191" spans="9:9" x14ac:dyDescent="0.25">
      <c r="I191" s="20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4"/>
  <sheetViews>
    <sheetView topLeftCell="A4" workbookViewId="0">
      <selection activeCell="E4" sqref="E1:E1048576"/>
    </sheetView>
  </sheetViews>
  <sheetFormatPr baseColWidth="10" defaultRowHeight="12.5" x14ac:dyDescent="0.25"/>
  <cols>
    <col min="1" max="1" width="17.81640625" bestFit="1" customWidth="1"/>
    <col min="2" max="2" width="3.81640625" customWidth="1"/>
    <col min="3" max="3" width="18.1796875" bestFit="1" customWidth="1"/>
    <col min="4" max="4" width="3.81640625" customWidth="1"/>
    <col min="5" max="5" width="22.26953125" bestFit="1" customWidth="1"/>
    <col min="6" max="7" width="23" bestFit="1" customWidth="1"/>
    <col min="8" max="8" width="13.1796875" bestFit="1" customWidth="1"/>
  </cols>
  <sheetData>
    <row r="5" spans="1:5" x14ac:dyDescent="0.25">
      <c r="A5" t="s">
        <v>619</v>
      </c>
      <c r="C5" s="23" t="s">
        <v>629</v>
      </c>
      <c r="E5" s="23" t="s">
        <v>630</v>
      </c>
    </row>
    <row r="7" spans="1:5" x14ac:dyDescent="0.25">
      <c r="A7" s="19" t="s">
        <v>617</v>
      </c>
      <c r="C7" s="19" t="s">
        <v>617</v>
      </c>
      <c r="E7" s="19" t="s">
        <v>617</v>
      </c>
    </row>
    <row r="8" spans="1:5" x14ac:dyDescent="0.25">
      <c r="A8" s="20" t="s">
        <v>461</v>
      </c>
      <c r="C8" s="20" t="s">
        <v>461</v>
      </c>
      <c r="E8" s="20" t="s">
        <v>461</v>
      </c>
    </row>
    <row r="9" spans="1:5" x14ac:dyDescent="0.25">
      <c r="A9" s="21" t="s">
        <v>23</v>
      </c>
      <c r="C9" s="21" t="s">
        <v>513</v>
      </c>
      <c r="E9" s="21" t="s">
        <v>638</v>
      </c>
    </row>
    <row r="10" spans="1:5" x14ac:dyDescent="0.25">
      <c r="A10" s="21" t="s">
        <v>512</v>
      </c>
      <c r="C10" s="21" t="s">
        <v>470</v>
      </c>
      <c r="E10" s="21" t="s">
        <v>639</v>
      </c>
    </row>
    <row r="11" spans="1:5" x14ac:dyDescent="0.25">
      <c r="A11" s="21" t="s">
        <v>618</v>
      </c>
      <c r="C11" s="21" t="s">
        <v>472</v>
      </c>
      <c r="E11" s="21" t="s">
        <v>637</v>
      </c>
    </row>
    <row r="12" spans="1:5" x14ac:dyDescent="0.25">
      <c r="A12" s="20" t="s">
        <v>616</v>
      </c>
      <c r="C12" s="21" t="s">
        <v>544</v>
      </c>
      <c r="E12" s="21" t="s">
        <v>636</v>
      </c>
    </row>
    <row r="13" spans="1:5" x14ac:dyDescent="0.25">
      <c r="C13" s="21" t="s">
        <v>542</v>
      </c>
      <c r="E13" s="20" t="s">
        <v>616</v>
      </c>
    </row>
    <row r="14" spans="1:5" x14ac:dyDescent="0.25">
      <c r="C14" s="21" t="s">
        <v>504</v>
      </c>
    </row>
    <row r="15" spans="1:5" x14ac:dyDescent="0.25">
      <c r="C15" s="21" t="s">
        <v>552</v>
      </c>
    </row>
    <row r="16" spans="1:5" x14ac:dyDescent="0.25">
      <c r="C16" s="21" t="s">
        <v>546</v>
      </c>
    </row>
    <row r="17" spans="3:3" x14ac:dyDescent="0.25">
      <c r="C17" s="21" t="s">
        <v>548</v>
      </c>
    </row>
    <row r="18" spans="3:3" x14ac:dyDescent="0.25">
      <c r="C18" s="21" t="s">
        <v>523</v>
      </c>
    </row>
    <row r="19" spans="3:3" x14ac:dyDescent="0.25">
      <c r="C19" s="21" t="s">
        <v>550</v>
      </c>
    </row>
    <row r="20" spans="3:3" x14ac:dyDescent="0.25">
      <c r="C20" s="21" t="s">
        <v>531</v>
      </c>
    </row>
    <row r="21" spans="3:3" x14ac:dyDescent="0.25">
      <c r="C21" s="21" t="s">
        <v>462</v>
      </c>
    </row>
    <row r="22" spans="3:3" x14ac:dyDescent="0.25">
      <c r="C22" s="21" t="s">
        <v>474</v>
      </c>
    </row>
    <row r="23" spans="3:3" x14ac:dyDescent="0.25">
      <c r="C23" s="21" t="s">
        <v>464</v>
      </c>
    </row>
    <row r="24" spans="3:3" x14ac:dyDescent="0.25">
      <c r="C24" s="21" t="s">
        <v>478</v>
      </c>
    </row>
    <row r="25" spans="3:3" x14ac:dyDescent="0.25">
      <c r="C25" s="21" t="s">
        <v>534</v>
      </c>
    </row>
    <row r="26" spans="3:3" x14ac:dyDescent="0.25">
      <c r="C26" s="21" t="s">
        <v>533</v>
      </c>
    </row>
    <row r="27" spans="3:3" x14ac:dyDescent="0.25">
      <c r="C27" s="21" t="s">
        <v>477</v>
      </c>
    </row>
    <row r="28" spans="3:3" x14ac:dyDescent="0.25">
      <c r="C28" s="21" t="s">
        <v>469</v>
      </c>
    </row>
    <row r="29" spans="3:3" x14ac:dyDescent="0.25">
      <c r="C29" s="21" t="s">
        <v>529</v>
      </c>
    </row>
    <row r="30" spans="3:3" x14ac:dyDescent="0.25">
      <c r="C30" s="21" t="s">
        <v>536</v>
      </c>
    </row>
    <row r="31" spans="3:3" x14ac:dyDescent="0.25">
      <c r="C31" s="21" t="s">
        <v>540</v>
      </c>
    </row>
    <row r="32" spans="3:3" x14ac:dyDescent="0.25">
      <c r="C32" s="21" t="s">
        <v>515</v>
      </c>
    </row>
    <row r="33" spans="3:3" x14ac:dyDescent="0.25">
      <c r="C33" s="21" t="s">
        <v>520</v>
      </c>
    </row>
    <row r="34" spans="3:3" x14ac:dyDescent="0.25">
      <c r="C34" s="20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9"/>
  <sheetViews>
    <sheetView workbookViewId="0">
      <selection activeCell="E1" sqref="E1:E1048576"/>
    </sheetView>
  </sheetViews>
  <sheetFormatPr baseColWidth="10" defaultRowHeight="12.5" x14ac:dyDescent="0.25"/>
  <cols>
    <col min="1" max="1" width="17.81640625" bestFit="1" customWidth="1"/>
    <col min="2" max="2" width="3.81640625" customWidth="1"/>
    <col min="3" max="3" width="19.26953125" bestFit="1" customWidth="1"/>
    <col min="4" max="4" width="3.81640625" customWidth="1"/>
    <col min="5" max="5" width="22.26953125" bestFit="1" customWidth="1"/>
    <col min="6" max="7" width="23" bestFit="1" customWidth="1"/>
    <col min="8" max="8" width="13.1796875" bestFit="1" customWidth="1"/>
  </cols>
  <sheetData>
    <row r="5" spans="1:5" x14ac:dyDescent="0.25">
      <c r="A5" t="s">
        <v>619</v>
      </c>
      <c r="C5" s="23" t="s">
        <v>629</v>
      </c>
      <c r="E5" s="23" t="s">
        <v>630</v>
      </c>
    </row>
    <row r="7" spans="1:5" x14ac:dyDescent="0.25">
      <c r="A7" s="19" t="s">
        <v>617</v>
      </c>
      <c r="C7" s="19" t="s">
        <v>617</v>
      </c>
      <c r="E7" s="19" t="s">
        <v>617</v>
      </c>
    </row>
    <row r="8" spans="1:5" x14ac:dyDescent="0.25">
      <c r="A8" s="20" t="s">
        <v>391</v>
      </c>
      <c r="C8" s="20" t="s">
        <v>391</v>
      </c>
      <c r="E8" s="20" t="s">
        <v>391</v>
      </c>
    </row>
    <row r="9" spans="1:5" x14ac:dyDescent="0.25">
      <c r="A9" s="21" t="s">
        <v>414</v>
      </c>
      <c r="C9" s="21" t="s">
        <v>443</v>
      </c>
      <c r="E9" s="21" t="s">
        <v>638</v>
      </c>
    </row>
    <row r="10" spans="1:5" x14ac:dyDescent="0.25">
      <c r="A10" s="21" t="s">
        <v>392</v>
      </c>
      <c r="C10" s="21" t="s">
        <v>418</v>
      </c>
      <c r="E10" s="21" t="s">
        <v>639</v>
      </c>
    </row>
    <row r="11" spans="1:5" x14ac:dyDescent="0.25">
      <c r="A11" s="21" t="s">
        <v>423</v>
      </c>
      <c r="C11" s="21" t="s">
        <v>415</v>
      </c>
      <c r="E11" s="21" t="s">
        <v>637</v>
      </c>
    </row>
    <row r="12" spans="1:5" x14ac:dyDescent="0.25">
      <c r="A12" s="21" t="s">
        <v>435</v>
      </c>
      <c r="C12" s="21" t="s">
        <v>394</v>
      </c>
      <c r="E12" s="21" t="s">
        <v>636</v>
      </c>
    </row>
    <row r="13" spans="1:5" x14ac:dyDescent="0.25">
      <c r="A13" s="21" t="s">
        <v>456</v>
      </c>
      <c r="C13" s="21" t="s">
        <v>404</v>
      </c>
      <c r="E13" s="20" t="s">
        <v>616</v>
      </c>
    </row>
    <row r="14" spans="1:5" x14ac:dyDescent="0.25">
      <c r="A14" s="21" t="s">
        <v>431</v>
      </c>
      <c r="C14" s="21" t="s">
        <v>402</v>
      </c>
    </row>
    <row r="15" spans="1:5" x14ac:dyDescent="0.25">
      <c r="A15" s="20" t="s">
        <v>616</v>
      </c>
      <c r="C15" s="21" t="s">
        <v>432</v>
      </c>
    </row>
    <row r="16" spans="1:5" x14ac:dyDescent="0.25">
      <c r="C16" s="21" t="s">
        <v>412</v>
      </c>
    </row>
    <row r="17" spans="3:3" x14ac:dyDescent="0.25">
      <c r="C17" s="21" t="s">
        <v>454</v>
      </c>
    </row>
    <row r="18" spans="3:3" x14ac:dyDescent="0.25">
      <c r="C18" s="21" t="s">
        <v>424</v>
      </c>
    </row>
    <row r="19" spans="3:3" x14ac:dyDescent="0.25">
      <c r="C19" s="21" t="s">
        <v>407</v>
      </c>
    </row>
    <row r="20" spans="3:3" x14ac:dyDescent="0.25">
      <c r="C20" s="21" t="s">
        <v>457</v>
      </c>
    </row>
    <row r="21" spans="3:3" x14ac:dyDescent="0.25">
      <c r="C21" s="21" t="s">
        <v>420</v>
      </c>
    </row>
    <row r="22" spans="3:3" x14ac:dyDescent="0.25">
      <c r="C22" s="21" t="s">
        <v>452</v>
      </c>
    </row>
    <row r="23" spans="3:3" x14ac:dyDescent="0.25">
      <c r="C23" s="21" t="s">
        <v>405</v>
      </c>
    </row>
    <row r="24" spans="3:3" x14ac:dyDescent="0.25">
      <c r="C24" s="21" t="s">
        <v>409</v>
      </c>
    </row>
    <row r="25" spans="3:3" x14ac:dyDescent="0.25">
      <c r="C25" s="21" t="s">
        <v>422</v>
      </c>
    </row>
    <row r="26" spans="3:3" x14ac:dyDescent="0.25">
      <c r="C26" s="21" t="s">
        <v>436</v>
      </c>
    </row>
    <row r="27" spans="3:3" x14ac:dyDescent="0.25">
      <c r="C27" s="21" t="s">
        <v>400</v>
      </c>
    </row>
    <row r="28" spans="3:3" x14ac:dyDescent="0.25">
      <c r="C28" s="21" t="s">
        <v>427</v>
      </c>
    </row>
    <row r="29" spans="3:3" x14ac:dyDescent="0.25">
      <c r="C29" s="20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3"/>
  <sheetViews>
    <sheetView workbookViewId="0">
      <selection activeCell="E19" sqref="E19"/>
    </sheetView>
  </sheetViews>
  <sheetFormatPr baseColWidth="10" defaultRowHeight="12.5" x14ac:dyDescent="0.25"/>
  <cols>
    <col min="1" max="1" width="17.81640625" bestFit="1" customWidth="1"/>
    <col min="2" max="2" width="3.81640625" customWidth="1"/>
    <col min="3" max="3" width="22.26953125" bestFit="1" customWidth="1"/>
    <col min="4" max="5" width="23" bestFit="1" customWidth="1"/>
    <col min="6" max="6" width="13.1796875" bestFit="1" customWidth="1"/>
  </cols>
  <sheetData>
    <row r="5" spans="1:3" x14ac:dyDescent="0.25">
      <c r="A5" t="s">
        <v>619</v>
      </c>
      <c r="C5" s="23" t="s">
        <v>630</v>
      </c>
    </row>
    <row r="7" spans="1:3" x14ac:dyDescent="0.25">
      <c r="A7" s="19" t="s">
        <v>617</v>
      </c>
      <c r="C7" s="19" t="s">
        <v>617</v>
      </c>
    </row>
    <row r="8" spans="1:3" x14ac:dyDescent="0.25">
      <c r="A8" s="20" t="s">
        <v>554</v>
      </c>
      <c r="C8" s="20" t="s">
        <v>554</v>
      </c>
    </row>
    <row r="9" spans="1:3" x14ac:dyDescent="0.25">
      <c r="A9" s="21" t="s">
        <v>10</v>
      </c>
      <c r="C9" s="21" t="s">
        <v>638</v>
      </c>
    </row>
    <row r="10" spans="1:3" x14ac:dyDescent="0.25">
      <c r="A10" s="21" t="s">
        <v>391</v>
      </c>
      <c r="C10" s="21" t="s">
        <v>639</v>
      </c>
    </row>
    <row r="11" spans="1:3" x14ac:dyDescent="0.25">
      <c r="A11" s="20" t="s">
        <v>616</v>
      </c>
      <c r="C11" s="21" t="s">
        <v>637</v>
      </c>
    </row>
    <row r="12" spans="1:3" x14ac:dyDescent="0.25">
      <c r="C12" s="21" t="s">
        <v>636</v>
      </c>
    </row>
    <row r="13" spans="1:3" x14ac:dyDescent="0.25">
      <c r="C13" s="20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3"/>
  <sheetViews>
    <sheetView workbookViewId="0">
      <selection activeCell="D16" sqref="D16"/>
    </sheetView>
  </sheetViews>
  <sheetFormatPr baseColWidth="10" defaultRowHeight="12.5" x14ac:dyDescent="0.25"/>
  <cols>
    <col min="1" max="1" width="20.7265625" bestFit="1" customWidth="1"/>
    <col min="2" max="2" width="3.81640625" customWidth="1"/>
    <col min="3" max="3" width="22.26953125" bestFit="1" customWidth="1"/>
    <col min="4" max="5" width="23" bestFit="1" customWidth="1"/>
    <col min="6" max="6" width="13.1796875" bestFit="1" customWidth="1"/>
  </cols>
  <sheetData>
    <row r="5" spans="1:3" x14ac:dyDescent="0.25">
      <c r="A5" t="s">
        <v>619</v>
      </c>
      <c r="C5" s="23" t="s">
        <v>630</v>
      </c>
    </row>
    <row r="7" spans="1:3" x14ac:dyDescent="0.25">
      <c r="A7" s="19" t="s">
        <v>617</v>
      </c>
      <c r="C7" s="19" t="s">
        <v>617</v>
      </c>
    </row>
    <row r="8" spans="1:3" x14ac:dyDescent="0.25">
      <c r="A8" s="20" t="s">
        <v>593</v>
      </c>
      <c r="C8" s="20" t="s">
        <v>593</v>
      </c>
    </row>
    <row r="9" spans="1:3" x14ac:dyDescent="0.25">
      <c r="A9" s="21" t="s">
        <v>10</v>
      </c>
      <c r="C9" s="21" t="s">
        <v>638</v>
      </c>
    </row>
    <row r="10" spans="1:3" x14ac:dyDescent="0.25">
      <c r="A10" s="21" t="s">
        <v>614</v>
      </c>
      <c r="C10" s="21" t="s">
        <v>639</v>
      </c>
    </row>
    <row r="11" spans="1:3" x14ac:dyDescent="0.25">
      <c r="A11" s="20" t="s">
        <v>616</v>
      </c>
      <c r="C11" s="21" t="s">
        <v>637</v>
      </c>
    </row>
    <row r="12" spans="1:3" x14ac:dyDescent="0.25">
      <c r="C12" s="21" t="s">
        <v>636</v>
      </c>
    </row>
    <row r="13" spans="1:3" x14ac:dyDescent="0.25">
      <c r="C13" s="2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 de Precios 4-10</vt:lpstr>
      <vt:lpstr>Maestro de Productos</vt:lpstr>
      <vt:lpstr>Categorías</vt:lpstr>
      <vt:lpstr>Filtros de vinos</vt:lpstr>
      <vt:lpstr>Filtros de Whiskies</vt:lpstr>
      <vt:lpstr>Filtros de Spirits</vt:lpstr>
      <vt:lpstr>Filtros de Combos</vt:lpstr>
      <vt:lpstr>Filtros de Regalos &amp; Estuches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 Leiva</dc:creator>
  <cp:lastModifiedBy>Luffi</cp:lastModifiedBy>
  <dcterms:created xsi:type="dcterms:W3CDTF">2021-07-21T22:14:01Z</dcterms:created>
  <dcterms:modified xsi:type="dcterms:W3CDTF">2021-10-04T23:00:24Z</dcterms:modified>
</cp:coreProperties>
</file>