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5" activeTab="16"/>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 name="21" sheetId="14" r:id="rId14"/>
    <sheet name="23" sheetId="15" r:id="rId15"/>
    <sheet name="25" sheetId="16" r:id="rId16"/>
    <sheet name="28" sheetId="18" r:id="rId17"/>
    <sheet name="31" sheetId="19" r:id="rId18"/>
    <sheet name="34" sheetId="20" r:id="rId19"/>
    <sheet name="39" sheetId="21" r:id="rId20"/>
    <sheet name="41" sheetId="22" r:id="rId21"/>
    <sheet name="49" sheetId="23" r:id="rId22"/>
    <sheet name="51" sheetId="24" r:id="rId23"/>
    <sheet name="55" sheetId="35" r:id="rId24"/>
    <sheet name="56" sheetId="25" r:id="rId25"/>
    <sheet name="58" sheetId="36" r:id="rId26"/>
    <sheet name="59" sheetId="26" r:id="rId27"/>
    <sheet name="60" sheetId="30" r:id="rId28"/>
    <sheet name="64" sheetId="31" r:id="rId29"/>
    <sheet name="67" sheetId="32" r:id="rId30"/>
    <sheet name="68" sheetId="33" r:id="rId31"/>
    <sheet name="70" sheetId="34" r:id="rId32"/>
  </sheets>
  <externalReferences>
    <externalReference r:id="rId33"/>
  </externalReferences>
  <definedNames>
    <definedName name="_ftn1" localSheetId="31">'70'!$A$104</definedName>
    <definedName name="_ftn2" localSheetId="31">'70'!$A$105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6" i="16" l="1"/>
  <c r="E96" i="16"/>
  <c r="D97" i="16"/>
  <c r="D98" i="16"/>
  <c r="D99" i="16"/>
  <c r="D100" i="16"/>
  <c r="D101" i="16"/>
  <c r="D102" i="16"/>
  <c r="D103" i="16"/>
  <c r="D104" i="16"/>
  <c r="D105" i="16"/>
  <c r="D106" i="16"/>
  <c r="E95" i="16"/>
  <c r="D95" i="16"/>
  <c r="E62" i="16"/>
  <c r="E61" i="16"/>
  <c r="D62" i="16"/>
  <c r="D63" i="16"/>
  <c r="D64" i="16"/>
  <c r="D65" i="16"/>
  <c r="D66" i="16"/>
  <c r="D67" i="16"/>
  <c r="D68" i="16"/>
  <c r="D69" i="16"/>
  <c r="D70" i="16"/>
  <c r="D71" i="16"/>
  <c r="D72" i="16"/>
  <c r="D61" i="16"/>
  <c r="D41" i="16"/>
  <c r="D42" i="16"/>
  <c r="D43" i="16"/>
  <c r="D40" i="16"/>
  <c r="E40" i="16"/>
  <c r="F24" i="36"/>
  <c r="D24" i="36"/>
  <c r="F22" i="36"/>
  <c r="D22" i="36"/>
  <c r="F20" i="36"/>
  <c r="D20" i="36"/>
  <c r="F18" i="36"/>
  <c r="D18" i="36"/>
  <c r="F16" i="36"/>
  <c r="D16" i="36"/>
  <c r="F14" i="36"/>
  <c r="D14" i="36"/>
  <c r="C49" i="35"/>
  <c r="C59" i="35" s="1"/>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F13" i="35"/>
  <c r="E13" i="34"/>
  <c r="K13" i="34"/>
  <c r="D14" i="34"/>
  <c r="E14" i="34"/>
  <c r="D15" i="34" s="1"/>
  <c r="J14" i="34"/>
  <c r="K14" i="34" s="1"/>
  <c r="G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F9" i="33"/>
  <c r="D10" i="33"/>
  <c r="E10" i="33"/>
  <c r="F10" i="33"/>
  <c r="D11" i="33"/>
  <c r="D12" i="33"/>
  <c r="D13" i="33"/>
  <c r="F34" i="32"/>
  <c r="F33" i="32"/>
  <c r="F32" i="32"/>
  <c r="F31" i="32"/>
  <c r="E31" i="32"/>
  <c r="E30" i="32"/>
  <c r="F30" i="32" s="1"/>
  <c r="F29" i="32"/>
  <c r="E29" i="32"/>
  <c r="H28" i="32"/>
  <c r="D28" i="32"/>
  <c r="F20" i="32"/>
  <c r="E20" i="32"/>
  <c r="F19" i="32"/>
  <c r="E19" i="32"/>
  <c r="F18" i="32"/>
  <c r="E18" i="32"/>
  <c r="F17" i="32"/>
  <c r="E17" i="32"/>
  <c r="F16" i="32"/>
  <c r="E16" i="32"/>
  <c r="G15" i="32"/>
  <c r="F15" i="32"/>
  <c r="E15" i="32"/>
  <c r="C15" i="32"/>
  <c r="D15" i="32" s="1"/>
  <c r="H14" i="32"/>
  <c r="H15" i="32" s="1"/>
  <c r="D14" i="32"/>
  <c r="C86" i="31"/>
  <c r="D86" i="31" s="1"/>
  <c r="E79"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E20" i="31"/>
  <c r="F20" i="31" s="1"/>
  <c r="E16" i="31"/>
  <c r="D9" i="31"/>
  <c r="D7" i="31"/>
  <c r="D57" i="30"/>
  <c r="I55" i="30"/>
  <c r="H55" i="30"/>
  <c r="D41" i="30"/>
  <c r="H39" i="30"/>
  <c r="I39" i="30" s="1"/>
  <c r="D21" i="30"/>
  <c r="I19" i="30"/>
  <c r="H19" i="30"/>
  <c r="I18" i="30"/>
  <c r="H18" i="30"/>
  <c r="D9" i="30"/>
  <c r="H7" i="30"/>
  <c r="I7" i="30" s="1"/>
  <c r="C10" i="8"/>
  <c r="E10" i="8"/>
  <c r="F8" i="26"/>
  <c r="D9" i="26"/>
  <c r="C10" i="26"/>
  <c r="D10" i="26"/>
  <c r="C11" i="26" s="1"/>
  <c r="D25" i="26"/>
  <c r="D26" i="26" s="1"/>
  <c r="C26" i="26"/>
  <c r="F27" i="26"/>
  <c r="D45" i="26"/>
  <c r="C46" i="26" s="1"/>
  <c r="D46" i="26" s="1"/>
  <c r="F47" i="26"/>
  <c r="D84" i="26"/>
  <c r="C85" i="26" s="1"/>
  <c r="D85" i="26" s="1"/>
  <c r="F86" i="26"/>
  <c r="D7" i="25"/>
  <c r="C11" i="25"/>
  <c r="C12" i="25"/>
  <c r="C13" i="25" s="1"/>
  <c r="G12" i="25"/>
  <c r="I12" i="25" s="1"/>
  <c r="G13" i="25"/>
  <c r="H13" i="25"/>
  <c r="I13" i="25" s="1"/>
  <c r="G24" i="25"/>
  <c r="E25" i="25"/>
  <c r="E26" i="25" s="1"/>
  <c r="G25" i="25"/>
  <c r="F11" i="24"/>
  <c r="C12" i="24"/>
  <c r="D12" i="24"/>
  <c r="E12" i="24"/>
  <c r="F12" i="24" s="1"/>
  <c r="C13" i="24"/>
  <c r="C14" i="24"/>
  <c r="C15" i="24"/>
  <c r="C16" i="24"/>
  <c r="F32" i="24"/>
  <c r="D33" i="24" s="1"/>
  <c r="C33" i="24"/>
  <c r="E33" i="24" s="1"/>
  <c r="F33" i="24" s="1"/>
  <c r="C34" i="24"/>
  <c r="C35" i="24"/>
  <c r="C36" i="24"/>
  <c r="C37" i="24"/>
  <c r="F46" i="24"/>
  <c r="C47" i="24"/>
  <c r="D47" i="24"/>
  <c r="E47" i="24"/>
  <c r="F47" i="24" s="1"/>
  <c r="C48" i="24"/>
  <c r="C49" i="24"/>
  <c r="C50" i="24"/>
  <c r="C51" i="24"/>
  <c r="D79" i="23"/>
  <c r="D78" i="23"/>
  <c r="D77" i="23"/>
  <c r="D76" i="23"/>
  <c r="D75" i="23"/>
  <c r="D74" i="23"/>
  <c r="D73" i="23"/>
  <c r="D72" i="23"/>
  <c r="G71" i="23"/>
  <c r="D66" i="23"/>
  <c r="D65" i="23"/>
  <c r="D64" i="23"/>
  <c r="D63" i="23"/>
  <c r="D62" i="23"/>
  <c r="D61" i="23"/>
  <c r="D60" i="23"/>
  <c r="D59" i="23"/>
  <c r="D51" i="23"/>
  <c r="D50" i="23"/>
  <c r="D49" i="23"/>
  <c r="D48" i="23"/>
  <c r="D47" i="23"/>
  <c r="D46" i="23"/>
  <c r="D45" i="23"/>
  <c r="D44" i="23"/>
  <c r="D43" i="23"/>
  <c r="D42" i="23"/>
  <c r="D41" i="23"/>
  <c r="D40" i="23"/>
  <c r="D35" i="23"/>
  <c r="E40" i="23" s="1"/>
  <c r="L34" i="23"/>
  <c r="L35" i="23" s="1"/>
  <c r="H34" i="23"/>
  <c r="H35" i="23" s="1"/>
  <c r="D34" i="23"/>
  <c r="C25" i="23"/>
  <c r="C24" i="23"/>
  <c r="C23" i="23"/>
  <c r="C22" i="23"/>
  <c r="C21" i="23"/>
  <c r="C20" i="23"/>
  <c r="C19" i="23"/>
  <c r="C18" i="23"/>
  <c r="C17" i="23"/>
  <c r="C16" i="23"/>
  <c r="C15" i="23"/>
  <c r="M14" i="23"/>
  <c r="N14" i="23" s="1"/>
  <c r="C14" i="23"/>
  <c r="O13" i="23"/>
  <c r="I12" i="23"/>
  <c r="G9" i="23"/>
  <c r="G25" i="23" s="1"/>
  <c r="G8" i="23"/>
  <c r="C23" i="22"/>
  <c r="C22" i="22"/>
  <c r="C21" i="22"/>
  <c r="C20" i="22"/>
  <c r="C19" i="22"/>
  <c r="C18" i="22"/>
  <c r="C17" i="22"/>
  <c r="C16" i="22"/>
  <c r="C15" i="22"/>
  <c r="C14" i="22"/>
  <c r="E13" i="22"/>
  <c r="C13" i="22"/>
  <c r="H6" i="22"/>
  <c r="C568" i="21"/>
  <c r="C567" i="21"/>
  <c r="C566" i="21"/>
  <c r="C565" i="21"/>
  <c r="C564" i="21"/>
  <c r="C563" i="21"/>
  <c r="C562" i="21"/>
  <c r="C561" i="21"/>
  <c r="C560" i="21"/>
  <c r="C559" i="21"/>
  <c r="C558" i="21"/>
  <c r="C557" i="21"/>
  <c r="C556" i="21"/>
  <c r="C555" i="21"/>
  <c r="C554" i="21"/>
  <c r="C553" i="21"/>
  <c r="C552" i="21"/>
  <c r="C551" i="21"/>
  <c r="C550" i="21"/>
  <c r="C549" i="21"/>
  <c r="C548" i="21"/>
  <c r="C547" i="21"/>
  <c r="C546" i="21"/>
  <c r="C545" i="21"/>
  <c r="C544" i="21"/>
  <c r="C543" i="21"/>
  <c r="C542" i="21"/>
  <c r="C541" i="21"/>
  <c r="C540" i="21"/>
  <c r="C539" i="21"/>
  <c r="C538" i="21"/>
  <c r="C537" i="21"/>
  <c r="C536" i="21"/>
  <c r="C535" i="21"/>
  <c r="C534" i="21"/>
  <c r="C533" i="21"/>
  <c r="C532" i="21"/>
  <c r="C531" i="21"/>
  <c r="C530" i="21"/>
  <c r="C529" i="21"/>
  <c r="C528" i="21"/>
  <c r="C527" i="21"/>
  <c r="C526" i="21"/>
  <c r="C525" i="21"/>
  <c r="C524" i="21"/>
  <c r="C523" i="21"/>
  <c r="C522" i="21"/>
  <c r="C521" i="21"/>
  <c r="C520" i="21"/>
  <c r="C519" i="21"/>
  <c r="C518" i="21"/>
  <c r="C517" i="21"/>
  <c r="C516" i="21"/>
  <c r="C515" i="21"/>
  <c r="C514" i="21"/>
  <c r="C513" i="21"/>
  <c r="C512" i="21"/>
  <c r="C511" i="21"/>
  <c r="C510" i="21"/>
  <c r="C509" i="21"/>
  <c r="C508" i="21"/>
  <c r="C507" i="21"/>
  <c r="C506" i="21"/>
  <c r="C505" i="21"/>
  <c r="C504" i="21"/>
  <c r="C503" i="21"/>
  <c r="C502" i="21"/>
  <c r="C501" i="21"/>
  <c r="C500" i="21"/>
  <c r="C499" i="21"/>
  <c r="C498" i="21"/>
  <c r="C497" i="21"/>
  <c r="C496" i="21"/>
  <c r="C495" i="21"/>
  <c r="C494" i="21"/>
  <c r="C493" i="21"/>
  <c r="C492" i="21"/>
  <c r="C491" i="21"/>
  <c r="C490" i="21"/>
  <c r="C489" i="21"/>
  <c r="C488" i="21"/>
  <c r="C487" i="21"/>
  <c r="C486" i="21"/>
  <c r="C485" i="21"/>
  <c r="C484" i="21"/>
  <c r="C483" i="21"/>
  <c r="C482" i="21"/>
  <c r="C481" i="21"/>
  <c r="C480" i="21"/>
  <c r="C479" i="21"/>
  <c r="C478" i="21"/>
  <c r="C477" i="21"/>
  <c r="C476" i="21"/>
  <c r="C475" i="21"/>
  <c r="C474" i="21"/>
  <c r="C473" i="21"/>
  <c r="C472" i="21"/>
  <c r="C471" i="21"/>
  <c r="C470" i="21"/>
  <c r="C469" i="21"/>
  <c r="C468" i="21"/>
  <c r="C467" i="21"/>
  <c r="C466" i="21"/>
  <c r="C465" i="21"/>
  <c r="C464" i="21"/>
  <c r="C463" i="21"/>
  <c r="C462" i="21"/>
  <c r="C461" i="21"/>
  <c r="C460" i="21"/>
  <c r="C459" i="21"/>
  <c r="C458" i="21"/>
  <c r="C457" i="21"/>
  <c r="C456" i="21"/>
  <c r="C455" i="21"/>
  <c r="C454" i="21"/>
  <c r="C453" i="21"/>
  <c r="C452" i="21"/>
  <c r="C451" i="21"/>
  <c r="C450" i="21"/>
  <c r="C449" i="21"/>
  <c r="F448" i="21"/>
  <c r="N434" i="21"/>
  <c r="C434" i="21"/>
  <c r="N433" i="21"/>
  <c r="C433" i="21"/>
  <c r="N432" i="21"/>
  <c r="C432" i="21"/>
  <c r="N431" i="21"/>
  <c r="C431" i="21"/>
  <c r="N430" i="21"/>
  <c r="C430" i="21"/>
  <c r="N427" i="21"/>
  <c r="C427" i="21"/>
  <c r="N426" i="21"/>
  <c r="C426" i="21"/>
  <c r="N425" i="21"/>
  <c r="C425" i="21"/>
  <c r="N424" i="21"/>
  <c r="C424" i="21"/>
  <c r="N423" i="21"/>
  <c r="C423" i="21"/>
  <c r="N422" i="21"/>
  <c r="C422" i="21"/>
  <c r="N421" i="21"/>
  <c r="C421" i="21"/>
  <c r="N420" i="21"/>
  <c r="C420" i="21"/>
  <c r="N419" i="21"/>
  <c r="C419" i="21"/>
  <c r="N418" i="21"/>
  <c r="C418" i="21"/>
  <c r="N417" i="21"/>
  <c r="C417" i="21"/>
  <c r="N416" i="21"/>
  <c r="C416" i="21"/>
  <c r="N415" i="21"/>
  <c r="C415" i="21"/>
  <c r="N414" i="21"/>
  <c r="C414" i="21"/>
  <c r="N413" i="21"/>
  <c r="C413" i="21"/>
  <c r="N412" i="21"/>
  <c r="C412" i="21"/>
  <c r="N411" i="21"/>
  <c r="C411" i="21"/>
  <c r="N410" i="21"/>
  <c r="C410" i="21"/>
  <c r="O409" i="21"/>
  <c r="M409" i="21" s="1"/>
  <c r="N409" i="21"/>
  <c r="C409" i="21"/>
  <c r="P408" i="21"/>
  <c r="P409" i="21" s="1"/>
  <c r="P410" i="21" s="1"/>
  <c r="O408" i="21"/>
  <c r="M408" i="21" s="1"/>
  <c r="N408" i="21"/>
  <c r="C408" i="21"/>
  <c r="P407" i="21"/>
  <c r="F407" i="21"/>
  <c r="N394" i="21"/>
  <c r="C394" i="21"/>
  <c r="N393" i="21"/>
  <c r="C393" i="21"/>
  <c r="N392" i="21"/>
  <c r="C392" i="21"/>
  <c r="N391" i="21"/>
  <c r="C391" i="21"/>
  <c r="N390" i="21"/>
  <c r="C390" i="21"/>
  <c r="N389" i="21"/>
  <c r="C389" i="21"/>
  <c r="N388" i="21"/>
  <c r="C388" i="21"/>
  <c r="N387" i="21"/>
  <c r="C387" i="21"/>
  <c r="N386" i="21"/>
  <c r="C386" i="21"/>
  <c r="N385" i="21"/>
  <c r="C385" i="21"/>
  <c r="N384" i="21"/>
  <c r="C384" i="21"/>
  <c r="N383" i="21"/>
  <c r="C383" i="21"/>
  <c r="N382" i="21"/>
  <c r="C382" i="21"/>
  <c r="N381" i="21"/>
  <c r="C381" i="21"/>
  <c r="N380" i="21"/>
  <c r="C380" i="21"/>
  <c r="N379" i="21"/>
  <c r="C379" i="21"/>
  <c r="N378" i="21"/>
  <c r="C378" i="21"/>
  <c r="N377" i="21"/>
  <c r="C377" i="21"/>
  <c r="N376" i="21"/>
  <c r="C376" i="21"/>
  <c r="N375" i="21"/>
  <c r="C375" i="21"/>
  <c r="N374" i="21"/>
  <c r="C374" i="21"/>
  <c r="N373" i="21"/>
  <c r="C373" i="21"/>
  <c r="N372" i="21"/>
  <c r="C372" i="21"/>
  <c r="N371" i="21"/>
  <c r="C371" i="21"/>
  <c r="N370" i="21"/>
  <c r="C370" i="21"/>
  <c r="N369" i="21"/>
  <c r="C369" i="21"/>
  <c r="N368" i="21"/>
  <c r="C368" i="21"/>
  <c r="N367" i="21"/>
  <c r="C367" i="21"/>
  <c r="N366" i="21"/>
  <c r="C366" i="21"/>
  <c r="N365" i="21"/>
  <c r="C365" i="21"/>
  <c r="N364" i="21"/>
  <c r="C364" i="21"/>
  <c r="N363" i="21"/>
  <c r="C363" i="21"/>
  <c r="N362" i="21"/>
  <c r="C362" i="21"/>
  <c r="N361" i="21"/>
  <c r="C361" i="21"/>
  <c r="N360" i="21"/>
  <c r="C360" i="21"/>
  <c r="N359" i="21"/>
  <c r="C359" i="21"/>
  <c r="N358" i="21"/>
  <c r="C358" i="21"/>
  <c r="N357" i="21"/>
  <c r="C357" i="21"/>
  <c r="N356" i="21"/>
  <c r="C356" i="21"/>
  <c r="N355" i="21"/>
  <c r="C355" i="21"/>
  <c r="N354" i="21"/>
  <c r="C354" i="21"/>
  <c r="N353" i="21"/>
  <c r="C353" i="21"/>
  <c r="N352" i="21"/>
  <c r="C352" i="21"/>
  <c r="N351" i="21"/>
  <c r="C351" i="21"/>
  <c r="N350" i="21"/>
  <c r="C350" i="21"/>
  <c r="N349" i="21"/>
  <c r="C349" i="21"/>
  <c r="N348" i="21"/>
  <c r="C348" i="21"/>
  <c r="N347" i="21"/>
  <c r="C347" i="21"/>
  <c r="N346" i="21"/>
  <c r="C346" i="21"/>
  <c r="N345" i="21"/>
  <c r="C345" i="21"/>
  <c r="N344" i="21"/>
  <c r="C344" i="21"/>
  <c r="N343" i="21"/>
  <c r="C343" i="21"/>
  <c r="N342" i="21"/>
  <c r="C342" i="21"/>
  <c r="N341" i="21"/>
  <c r="C341" i="21"/>
  <c r="N340" i="21"/>
  <c r="C340" i="21"/>
  <c r="N339" i="21"/>
  <c r="C339" i="21"/>
  <c r="N338" i="21"/>
  <c r="C338" i="21"/>
  <c r="N337" i="21"/>
  <c r="C337" i="21"/>
  <c r="N336" i="21"/>
  <c r="C336" i="21"/>
  <c r="N335" i="21"/>
  <c r="C335" i="21"/>
  <c r="N334" i="21"/>
  <c r="C334" i="21"/>
  <c r="N333" i="21"/>
  <c r="C333" i="21"/>
  <c r="N332" i="21"/>
  <c r="C332" i="21"/>
  <c r="N331" i="21"/>
  <c r="C331" i="21"/>
  <c r="N330" i="21"/>
  <c r="C330" i="21"/>
  <c r="N329" i="21"/>
  <c r="C329" i="21"/>
  <c r="N328" i="21"/>
  <c r="C328" i="21"/>
  <c r="N327" i="21"/>
  <c r="C327" i="21"/>
  <c r="N326" i="21"/>
  <c r="C326" i="21"/>
  <c r="N325" i="21"/>
  <c r="C325" i="21"/>
  <c r="N324" i="21"/>
  <c r="C324" i="21"/>
  <c r="N323" i="21"/>
  <c r="C323" i="21"/>
  <c r="N322" i="21"/>
  <c r="C322" i="21"/>
  <c r="N321" i="21"/>
  <c r="C321" i="21"/>
  <c r="N320" i="21"/>
  <c r="C320" i="21"/>
  <c r="N319" i="21"/>
  <c r="C319" i="21"/>
  <c r="N318" i="21"/>
  <c r="C318" i="21"/>
  <c r="N317" i="21"/>
  <c r="C317" i="21"/>
  <c r="N316" i="21"/>
  <c r="C316" i="21"/>
  <c r="N315" i="21"/>
  <c r="C315" i="21"/>
  <c r="N314" i="21"/>
  <c r="C314" i="21"/>
  <c r="N313" i="21"/>
  <c r="C313" i="21"/>
  <c r="N312" i="21"/>
  <c r="C312" i="21"/>
  <c r="N311" i="21"/>
  <c r="C311" i="21"/>
  <c r="N310" i="21"/>
  <c r="C310" i="21"/>
  <c r="N309" i="21"/>
  <c r="C309" i="21"/>
  <c r="N308" i="21"/>
  <c r="C308" i="21"/>
  <c r="N307" i="21"/>
  <c r="C307" i="21"/>
  <c r="N306" i="21"/>
  <c r="C306" i="21"/>
  <c r="N305" i="21"/>
  <c r="C305" i="21"/>
  <c r="N304" i="21"/>
  <c r="C304" i="21"/>
  <c r="N303" i="21"/>
  <c r="C303" i="21"/>
  <c r="N302" i="21"/>
  <c r="C302" i="21"/>
  <c r="N301" i="21"/>
  <c r="C301" i="21"/>
  <c r="N300" i="21"/>
  <c r="C300" i="21"/>
  <c r="N299" i="21"/>
  <c r="C299" i="21"/>
  <c r="N298" i="21"/>
  <c r="C298" i="21"/>
  <c r="N297" i="21"/>
  <c r="C297" i="21"/>
  <c r="N296" i="21"/>
  <c r="C296" i="21"/>
  <c r="N295" i="21"/>
  <c r="C295" i="21"/>
  <c r="N294" i="21"/>
  <c r="C294" i="21"/>
  <c r="N293" i="21"/>
  <c r="C293" i="21"/>
  <c r="N292" i="21"/>
  <c r="C292" i="21"/>
  <c r="N291" i="21"/>
  <c r="C291" i="21"/>
  <c r="N290" i="21"/>
  <c r="C290" i="21"/>
  <c r="N289" i="21"/>
  <c r="C289" i="21"/>
  <c r="N288" i="21"/>
  <c r="C288" i="21"/>
  <c r="N287" i="21"/>
  <c r="C287" i="21"/>
  <c r="N286" i="21"/>
  <c r="C286" i="21"/>
  <c r="N285" i="21"/>
  <c r="C285" i="21"/>
  <c r="N284" i="21"/>
  <c r="C284" i="21"/>
  <c r="N283" i="21"/>
  <c r="C283" i="21"/>
  <c r="N282" i="21"/>
  <c r="C282" i="21"/>
  <c r="N281" i="21"/>
  <c r="C281" i="21"/>
  <c r="N280" i="21"/>
  <c r="C280" i="21"/>
  <c r="N279" i="21"/>
  <c r="C279" i="21"/>
  <c r="N278" i="21"/>
  <c r="C278" i="21"/>
  <c r="N277" i="21"/>
  <c r="C277" i="21"/>
  <c r="N276" i="21"/>
  <c r="C276" i="21"/>
  <c r="N275" i="21"/>
  <c r="C275" i="21"/>
  <c r="P274" i="21"/>
  <c r="F274"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N154" i="21"/>
  <c r="D154" i="21"/>
  <c r="N153" i="21"/>
  <c r="D153" i="21"/>
  <c r="N152" i="21"/>
  <c r="D152" i="21"/>
  <c r="N151" i="21"/>
  <c r="D151" i="21"/>
  <c r="N150" i="21"/>
  <c r="D150" i="21"/>
  <c r="N149" i="21"/>
  <c r="D149" i="21"/>
  <c r="N148" i="21"/>
  <c r="D148" i="21"/>
  <c r="N147" i="21"/>
  <c r="D147" i="21"/>
  <c r="N146" i="21"/>
  <c r="D146" i="21"/>
  <c r="O145" i="21"/>
  <c r="M145" i="21" s="1"/>
  <c r="N145" i="21"/>
  <c r="D145" i="21"/>
  <c r="P144" i="21"/>
  <c r="P145" i="21" s="1"/>
  <c r="P146" i="21" s="1"/>
  <c r="P147" i="21" s="1"/>
  <c r="P148" i="21" s="1"/>
  <c r="P149" i="21" s="1"/>
  <c r="P150" i="21" s="1"/>
  <c r="P151" i="21" s="1"/>
  <c r="P152" i="21" s="1"/>
  <c r="P153" i="21" s="1"/>
  <c r="O154" i="21" s="1"/>
  <c r="F144" i="21"/>
  <c r="F145" i="21" s="1"/>
  <c r="F146" i="21" s="1"/>
  <c r="F147" i="21" s="1"/>
  <c r="F148" i="21" s="1"/>
  <c r="F149" i="21" s="1"/>
  <c r="F150" i="21" s="1"/>
  <c r="F151" i="21" s="1"/>
  <c r="F152" i="21" s="1"/>
  <c r="F153" i="21" s="1"/>
  <c r="F154" i="21" s="1"/>
  <c r="C133" i="21"/>
  <c r="C132" i="21"/>
  <c r="C131" i="21"/>
  <c r="C130"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M28" i="21"/>
  <c r="C28" i="21"/>
  <c r="M27" i="21"/>
  <c r="C27" i="21"/>
  <c r="M26" i="21"/>
  <c r="C26" i="21"/>
  <c r="M25" i="21"/>
  <c r="C25" i="21"/>
  <c r="M24" i="21"/>
  <c r="C24" i="21"/>
  <c r="M23" i="21"/>
  <c r="C23" i="21"/>
  <c r="M22" i="21"/>
  <c r="C22" i="21"/>
  <c r="M21" i="21"/>
  <c r="C21" i="21"/>
  <c r="M20" i="21"/>
  <c r="C20" i="21"/>
  <c r="M19" i="21"/>
  <c r="C19" i="21"/>
  <c r="P18" i="21"/>
  <c r="C18" i="21"/>
  <c r="C17" i="21"/>
  <c r="C16" i="21"/>
  <c r="C15" i="21"/>
  <c r="E14" i="21"/>
  <c r="C14" i="21"/>
  <c r="F13" i="21"/>
  <c r="O12" i="21"/>
  <c r="O11" i="21"/>
  <c r="D9" i="20"/>
  <c r="D50" i="19"/>
  <c r="D49" i="19"/>
  <c r="D48" i="19"/>
  <c r="D47" i="19"/>
  <c r="D46" i="19"/>
  <c r="D45" i="19"/>
  <c r="D44" i="19"/>
  <c r="D43" i="19"/>
  <c r="D42" i="19"/>
  <c r="D41" i="19"/>
  <c r="D40" i="19"/>
  <c r="D39" i="19"/>
  <c r="G38" i="19"/>
  <c r="C25" i="19"/>
  <c r="C24" i="19"/>
  <c r="C23" i="19"/>
  <c r="C22" i="19"/>
  <c r="C21" i="19"/>
  <c r="C20" i="19"/>
  <c r="C19" i="19"/>
  <c r="C18" i="19"/>
  <c r="C17" i="19"/>
  <c r="C16" i="19"/>
  <c r="D14" i="19"/>
  <c r="C17" i="18"/>
  <c r="C16" i="18"/>
  <c r="C15" i="18"/>
  <c r="C14" i="18"/>
  <c r="C13" i="18"/>
  <c r="E13" i="18" s="1"/>
  <c r="F13" i="18" s="1"/>
  <c r="H8" i="18"/>
  <c r="C15" i="16"/>
  <c r="C16" i="16"/>
  <c r="J19" i="16"/>
  <c r="J18" i="16"/>
  <c r="G94" i="16"/>
  <c r="E91" i="16"/>
  <c r="E90" i="16"/>
  <c r="E83" i="16"/>
  <c r="D83" i="16"/>
  <c r="F83" i="16" s="1"/>
  <c r="G82" i="16"/>
  <c r="G60" i="16"/>
  <c r="F51" i="16"/>
  <c r="F50" i="16"/>
  <c r="G39" i="16"/>
  <c r="H34" i="16"/>
  <c r="D30" i="16"/>
  <c r="H29" i="16"/>
  <c r="D29" i="16"/>
  <c r="K28" i="16"/>
  <c r="I29" i="16" s="1"/>
  <c r="J29" i="16" s="1"/>
  <c r="E22" i="16"/>
  <c r="M17" i="16"/>
  <c r="K12" i="16"/>
  <c r="K18" i="16" s="1"/>
  <c r="L18" i="16" s="1"/>
  <c r="M18" i="16" s="1"/>
  <c r="C53" i="35" l="1"/>
  <c r="E14" i="35"/>
  <c r="F14" i="35" s="1"/>
  <c r="C50" i="35"/>
  <c r="C54" i="35"/>
  <c r="C58" i="35"/>
  <c r="C51" i="35"/>
  <c r="C55" i="35"/>
  <c r="C57" i="35"/>
  <c r="C52" i="35"/>
  <c r="C56" i="35"/>
  <c r="C60" i="35"/>
  <c r="D14" i="35"/>
  <c r="F107" i="34"/>
  <c r="G107" i="34" s="1"/>
  <c r="E15" i="34"/>
  <c r="J15" i="34"/>
  <c r="K15" i="34"/>
  <c r="F11" i="33"/>
  <c r="E11" i="33"/>
  <c r="C16" i="32"/>
  <c r="D16" i="32" s="1"/>
  <c r="H16" i="32"/>
  <c r="G16" i="32"/>
  <c r="C29" i="32"/>
  <c r="D29" i="32" s="1"/>
  <c r="G29" i="32"/>
  <c r="H29" i="32" s="1"/>
  <c r="E21" i="31"/>
  <c r="F21" i="31" s="1"/>
  <c r="D21" i="31"/>
  <c r="D87" i="31"/>
  <c r="C87" i="31"/>
  <c r="H8" i="30"/>
  <c r="I8" i="30" s="1"/>
  <c r="H40" i="30"/>
  <c r="I40" i="30" s="1"/>
  <c r="H20" i="30"/>
  <c r="I20" i="30" s="1"/>
  <c r="H56" i="30"/>
  <c r="I56" i="30" s="1"/>
  <c r="C47" i="26"/>
  <c r="D47" i="26" s="1"/>
  <c r="C86" i="26"/>
  <c r="D86" i="26" s="1"/>
  <c r="C27" i="26"/>
  <c r="D27" i="26" s="1"/>
  <c r="D11" i="26"/>
  <c r="E27" i="25"/>
  <c r="G26" i="25"/>
  <c r="C14" i="25"/>
  <c r="G14" i="25"/>
  <c r="H14" i="25"/>
  <c r="D13" i="24"/>
  <c r="E13" i="24" s="1"/>
  <c r="F13" i="24" s="1"/>
  <c r="E34" i="24"/>
  <c r="F34" i="24" s="1"/>
  <c r="D48" i="24"/>
  <c r="E48" i="24" s="1"/>
  <c r="F48" i="24" s="1"/>
  <c r="D34" i="24"/>
  <c r="F40" i="23"/>
  <c r="G40" i="23" s="1"/>
  <c r="O14" i="23"/>
  <c r="E14" i="23"/>
  <c r="F14" i="23" s="1"/>
  <c r="D14" i="23"/>
  <c r="G18" i="23"/>
  <c r="G22" i="23"/>
  <c r="E59" i="23"/>
  <c r="F59" i="23" s="1"/>
  <c r="G59" i="23" s="1"/>
  <c r="G19" i="23"/>
  <c r="G23" i="23"/>
  <c r="E72" i="23"/>
  <c r="F72" i="23" s="1"/>
  <c r="G72" i="23" s="1"/>
  <c r="G20" i="23"/>
  <c r="G24" i="23"/>
  <c r="G14" i="23"/>
  <c r="G15" i="23"/>
  <c r="G16" i="23"/>
  <c r="G17" i="23"/>
  <c r="G21" i="23"/>
  <c r="D14" i="22"/>
  <c r="E14" i="22" s="1"/>
  <c r="O146" i="21"/>
  <c r="M146" i="21" s="1"/>
  <c r="O147" i="21"/>
  <c r="M147" i="21" s="1"/>
  <c r="O148" i="21"/>
  <c r="M148" i="21" s="1"/>
  <c r="O149" i="21"/>
  <c r="M149" i="21" s="1"/>
  <c r="O150" i="21"/>
  <c r="M150" i="21" s="1"/>
  <c r="O151" i="21"/>
  <c r="M151" i="21" s="1"/>
  <c r="O152" i="21"/>
  <c r="M152" i="21" s="1"/>
  <c r="O153" i="21"/>
  <c r="M153" i="21" s="1"/>
  <c r="P154" i="21"/>
  <c r="O19" i="21"/>
  <c r="N19" i="21" s="1"/>
  <c r="P19" i="21" s="1"/>
  <c r="F155" i="21"/>
  <c r="E155" i="21"/>
  <c r="D14" i="21"/>
  <c r="F14" i="21" s="1"/>
  <c r="E145" i="21"/>
  <c r="E146" i="21"/>
  <c r="C146" i="21" s="1"/>
  <c r="E147" i="21"/>
  <c r="C147" i="21" s="1"/>
  <c r="E148" i="21"/>
  <c r="C148" i="21" s="1"/>
  <c r="E149" i="21"/>
  <c r="C149" i="21" s="1"/>
  <c r="E150" i="21"/>
  <c r="C150" i="21" s="1"/>
  <c r="E151" i="21"/>
  <c r="C151" i="21" s="1"/>
  <c r="E152" i="21"/>
  <c r="C152" i="21" s="1"/>
  <c r="E153" i="21"/>
  <c r="C153" i="21" s="1"/>
  <c r="E154" i="21"/>
  <c r="C154" i="21" s="1"/>
  <c r="C155" i="21"/>
  <c r="M154" i="21"/>
  <c r="M275" i="21"/>
  <c r="P275" i="21"/>
  <c r="E275" i="21"/>
  <c r="O275" i="21"/>
  <c r="O410" i="21"/>
  <c r="M410" i="21" s="1"/>
  <c r="P411" i="21"/>
  <c r="O411" i="21"/>
  <c r="M411" i="21" s="1"/>
  <c r="D408" i="21"/>
  <c r="F408" i="21" s="1"/>
  <c r="E408" i="21"/>
  <c r="E449" i="21"/>
  <c r="E14" i="19"/>
  <c r="F14" i="19" s="1"/>
  <c r="E39" i="19"/>
  <c r="E14" i="18"/>
  <c r="F14" i="18"/>
  <c r="D14" i="18"/>
  <c r="K19" i="16"/>
  <c r="L19" i="16" s="1"/>
  <c r="M19" i="16" s="1"/>
  <c r="F61" i="16"/>
  <c r="G61" i="16" s="1"/>
  <c r="K29" i="16"/>
  <c r="F40" i="16"/>
  <c r="G40" i="16" s="1"/>
  <c r="E41" i="16" s="1"/>
  <c r="F41" i="16" s="1"/>
  <c r="G41" i="16" s="1"/>
  <c r="E42" i="16" s="1"/>
  <c r="F42" i="16" s="1"/>
  <c r="G42" i="16" s="1"/>
  <c r="G83" i="16"/>
  <c r="F95" i="16"/>
  <c r="G95" i="16" s="1"/>
  <c r="E43" i="16" l="1"/>
  <c r="F43" i="16" s="1"/>
  <c r="G43" i="16" s="1"/>
  <c r="D15" i="35"/>
  <c r="E15" i="35" s="1"/>
  <c r="F15" i="35" s="1"/>
  <c r="C61" i="35"/>
  <c r="J16" i="34"/>
  <c r="K16" i="34" s="1"/>
  <c r="D16" i="34"/>
  <c r="E16" i="34"/>
  <c r="G108" i="34"/>
  <c r="F108" i="34"/>
  <c r="E12" i="33"/>
  <c r="F12" i="33"/>
  <c r="C30" i="32"/>
  <c r="D30" i="32"/>
  <c r="G30" i="32"/>
  <c r="H30" i="32"/>
  <c r="C17" i="32"/>
  <c r="D17" i="32"/>
  <c r="G17" i="32"/>
  <c r="H17" i="32"/>
  <c r="D22" i="31"/>
  <c r="E22" i="31" s="1"/>
  <c r="F22" i="31" s="1"/>
  <c r="C88" i="31"/>
  <c r="D88" i="31" s="1"/>
  <c r="H21" i="30"/>
  <c r="I21" i="30"/>
  <c r="H41" i="30"/>
  <c r="I41" i="30" s="1"/>
  <c r="H57" i="30"/>
  <c r="I57" i="30"/>
  <c r="H9" i="30"/>
  <c r="I9" i="30" s="1"/>
  <c r="C28" i="26"/>
  <c r="D28" i="26"/>
  <c r="C87" i="26"/>
  <c r="D87" i="26"/>
  <c r="C48" i="26"/>
  <c r="D48" i="26"/>
  <c r="C12" i="26"/>
  <c r="D12" i="26"/>
  <c r="I14" i="25"/>
  <c r="H15" i="25"/>
  <c r="C15" i="25"/>
  <c r="G15" i="25"/>
  <c r="E28" i="25"/>
  <c r="G27" i="25"/>
  <c r="D35" i="24"/>
  <c r="D49" i="24"/>
  <c r="D14" i="24"/>
  <c r="E14" i="24" s="1"/>
  <c r="F14" i="24" s="1"/>
  <c r="E60" i="23"/>
  <c r="F60" i="23" s="1"/>
  <c r="G60" i="23" s="1"/>
  <c r="E73" i="23"/>
  <c r="F73" i="23" s="1"/>
  <c r="G73" i="23" s="1"/>
  <c r="E41" i="23"/>
  <c r="F41" i="23" s="1"/>
  <c r="G41" i="23"/>
  <c r="G26" i="23"/>
  <c r="D15" i="23"/>
  <c r="E15" i="23" s="1"/>
  <c r="F15" i="23" s="1"/>
  <c r="O15" i="23"/>
  <c r="M15" i="23"/>
  <c r="N15" i="23" s="1"/>
  <c r="D15" i="22"/>
  <c r="E15" i="22" s="1"/>
  <c r="O20" i="21"/>
  <c r="N20" i="21" s="1"/>
  <c r="P20" i="21" s="1"/>
  <c r="E409" i="21"/>
  <c r="D409" i="21" s="1"/>
  <c r="F409" i="21"/>
  <c r="E15" i="21"/>
  <c r="F156" i="21"/>
  <c r="E156" i="21"/>
  <c r="C156" i="21" s="1"/>
  <c r="C145" i="21"/>
  <c r="D449" i="21"/>
  <c r="F449" i="21" s="1"/>
  <c r="P412" i="21"/>
  <c r="O412" i="21"/>
  <c r="M412" i="21" s="1"/>
  <c r="D275" i="21"/>
  <c r="F275" i="21" s="1"/>
  <c r="P276" i="21"/>
  <c r="O276" i="21"/>
  <c r="M276" i="21" s="1"/>
  <c r="D15" i="19"/>
  <c r="F39" i="19"/>
  <c r="G39" i="19" s="1"/>
  <c r="D15" i="18"/>
  <c r="E15" i="18" s="1"/>
  <c r="F15" i="18" s="1"/>
  <c r="F96" i="16"/>
  <c r="G96" i="16" s="1"/>
  <c r="E97" i="16" s="1"/>
  <c r="K20" i="16"/>
  <c r="E44" i="16" l="1"/>
  <c r="F16" i="35"/>
  <c r="D16" i="35"/>
  <c r="E16" i="35" s="1"/>
  <c r="C72" i="35"/>
  <c r="C68" i="35"/>
  <c r="C64" i="35"/>
  <c r="C66" i="35"/>
  <c r="C65" i="35"/>
  <c r="C71" i="35"/>
  <c r="C67" i="35"/>
  <c r="C63" i="35"/>
  <c r="C70" i="35"/>
  <c r="C62" i="35"/>
  <c r="C69" i="35"/>
  <c r="J17" i="34"/>
  <c r="K17" i="34" s="1"/>
  <c r="D17" i="34"/>
  <c r="E17" i="34"/>
  <c r="F109" i="34"/>
  <c r="G109" i="34" s="1"/>
  <c r="E13" i="33"/>
  <c r="F13" i="33" s="1"/>
  <c r="F14" i="33" s="1"/>
  <c r="D20" i="33" s="1"/>
  <c r="D21" i="33" s="1"/>
  <c r="G31" i="32"/>
  <c r="H31" i="32" s="1"/>
  <c r="G18" i="32"/>
  <c r="H18" i="32" s="1"/>
  <c r="C18" i="32"/>
  <c r="D18" i="32" s="1"/>
  <c r="C31" i="32"/>
  <c r="D31" i="32" s="1"/>
  <c r="C89" i="31"/>
  <c r="D89" i="31" s="1"/>
  <c r="D23" i="31"/>
  <c r="H42" i="30"/>
  <c r="I42" i="30"/>
  <c r="H10" i="30"/>
  <c r="I10" i="30"/>
  <c r="H58" i="30"/>
  <c r="I58" i="30" s="1"/>
  <c r="H22" i="30"/>
  <c r="I22" i="30" s="1"/>
  <c r="C49" i="26"/>
  <c r="D49" i="26"/>
  <c r="C29" i="26"/>
  <c r="D29" i="26" s="1"/>
  <c r="C13" i="26"/>
  <c r="D13" i="26"/>
  <c r="C88" i="26"/>
  <c r="D88" i="26" s="1"/>
  <c r="C16" i="25"/>
  <c r="G16" i="25"/>
  <c r="I15" i="25"/>
  <c r="H16" i="25"/>
  <c r="G28" i="25"/>
  <c r="E29" i="25"/>
  <c r="G29" i="25" s="1"/>
  <c r="F31" i="25" s="1"/>
  <c r="D15" i="24"/>
  <c r="E49" i="24"/>
  <c r="F49" i="24" s="1"/>
  <c r="E35" i="24"/>
  <c r="F35" i="24" s="1"/>
  <c r="D16" i="23"/>
  <c r="E16" i="23" s="1"/>
  <c r="F16" i="23" s="1"/>
  <c r="E74" i="23"/>
  <c r="F74" i="23" s="1"/>
  <c r="G74" i="23" s="1"/>
  <c r="E61" i="23"/>
  <c r="F61" i="23" s="1"/>
  <c r="G61" i="23"/>
  <c r="M16" i="23"/>
  <c r="N16" i="23" s="1"/>
  <c r="O16" i="23" s="1"/>
  <c r="E42" i="23"/>
  <c r="F42" i="23" s="1"/>
  <c r="G42" i="23" s="1"/>
  <c r="D16" i="22"/>
  <c r="E16" i="22"/>
  <c r="O21" i="21"/>
  <c r="N21" i="21" s="1"/>
  <c r="P21" i="21" s="1"/>
  <c r="E410" i="21"/>
  <c r="D410" i="21" s="1"/>
  <c r="F410" i="21" s="1"/>
  <c r="F157" i="21"/>
  <c r="E157" i="21"/>
  <c r="C157" i="21" s="1"/>
  <c r="P277" i="21"/>
  <c r="O277" i="21"/>
  <c r="M277" i="21" s="1"/>
  <c r="P413" i="21"/>
  <c r="O413" i="21"/>
  <c r="M413" i="21" s="1"/>
  <c r="E276" i="21"/>
  <c r="E450" i="21"/>
  <c r="D15" i="21"/>
  <c r="F15" i="21" s="1"/>
  <c r="E40" i="19"/>
  <c r="E15" i="19"/>
  <c r="F15" i="19" s="1"/>
  <c r="D16" i="18"/>
  <c r="E16" i="18" s="1"/>
  <c r="F16" i="18" s="1"/>
  <c r="F97" i="16"/>
  <c r="G97" i="16" s="1"/>
  <c r="E98" i="16" s="1"/>
  <c r="F62" i="16"/>
  <c r="G62" i="16" s="1"/>
  <c r="E63" i="16" s="1"/>
  <c r="C73" i="35" l="1"/>
  <c r="D17" i="35"/>
  <c r="E17" i="35" s="1"/>
  <c r="F17" i="35" s="1"/>
  <c r="F110" i="34"/>
  <c r="G110" i="34" s="1"/>
  <c r="J18" i="34"/>
  <c r="K18" i="34"/>
  <c r="D18" i="34"/>
  <c r="E18" i="34" s="1"/>
  <c r="C32" i="32"/>
  <c r="D32" i="32"/>
  <c r="C19" i="32"/>
  <c r="D19" i="32"/>
  <c r="G19" i="32"/>
  <c r="H19" i="32"/>
  <c r="G32" i="32"/>
  <c r="H32" i="32" s="1"/>
  <c r="C90" i="31"/>
  <c r="D90" i="31" s="1"/>
  <c r="E23" i="31"/>
  <c r="F23" i="31" s="1"/>
  <c r="H23" i="30"/>
  <c r="I23" i="30"/>
  <c r="H59" i="30"/>
  <c r="I59" i="30"/>
  <c r="H11" i="30"/>
  <c r="I11" i="30" s="1"/>
  <c r="H43" i="30"/>
  <c r="I43" i="30" s="1"/>
  <c r="C89" i="26"/>
  <c r="D89" i="26"/>
  <c r="C30" i="26"/>
  <c r="D30" i="26" s="1"/>
  <c r="C14" i="26"/>
  <c r="D14" i="26"/>
  <c r="C50" i="26"/>
  <c r="D50" i="26" s="1"/>
  <c r="I16" i="25"/>
  <c r="H17" i="25"/>
  <c r="C17" i="25"/>
  <c r="G17" i="25"/>
  <c r="E15" i="24"/>
  <c r="F15" i="24" s="1"/>
  <c r="D50" i="24"/>
  <c r="D36" i="24"/>
  <c r="E43" i="23"/>
  <c r="F43" i="23" s="1"/>
  <c r="G43" i="23"/>
  <c r="E75" i="23"/>
  <c r="F75" i="23" s="1"/>
  <c r="G75" i="23" s="1"/>
  <c r="D17" i="23"/>
  <c r="E17" i="23" s="1"/>
  <c r="F17" i="23" s="1"/>
  <c r="E62" i="23"/>
  <c r="F62" i="23" s="1"/>
  <c r="G62" i="23" s="1"/>
  <c r="D17" i="22"/>
  <c r="E17" i="22" s="1"/>
  <c r="E411" i="21"/>
  <c r="O22" i="21"/>
  <c r="N22" i="21" s="1"/>
  <c r="P22" i="21" s="1"/>
  <c r="D450" i="21"/>
  <c r="F450" i="21" s="1"/>
  <c r="P278" i="21"/>
  <c r="O278" i="21"/>
  <c r="M278" i="21" s="1"/>
  <c r="E16" i="21"/>
  <c r="D276" i="21"/>
  <c r="F276" i="21" s="1"/>
  <c r="P414" i="21"/>
  <c r="O414" i="21"/>
  <c r="M414" i="21" s="1"/>
  <c r="E158" i="21"/>
  <c r="F158" i="21"/>
  <c r="D16" i="19"/>
  <c r="F40" i="19"/>
  <c r="G40" i="19" s="1"/>
  <c r="D17" i="18"/>
  <c r="E17" i="18" s="1"/>
  <c r="F17" i="18" s="1"/>
  <c r="D18" i="35" l="1"/>
  <c r="E18" i="35" s="1"/>
  <c r="F18" i="35" s="1"/>
  <c r="C83" i="35"/>
  <c r="C82" i="35"/>
  <c r="C81" i="35"/>
  <c r="C80" i="35"/>
  <c r="C79" i="35"/>
  <c r="C78" i="35"/>
  <c r="C77" i="35"/>
  <c r="C76" i="35"/>
  <c r="C75" i="35"/>
  <c r="C74" i="35"/>
  <c r="C84" i="35"/>
  <c r="D19" i="34"/>
  <c r="E19" i="34" s="1"/>
  <c r="F111" i="34"/>
  <c r="G111" i="34"/>
  <c r="J19" i="34"/>
  <c r="K19" i="34" s="1"/>
  <c r="G33" i="32"/>
  <c r="H33" i="32"/>
  <c r="C20" i="32"/>
  <c r="D20" i="32" s="1"/>
  <c r="D21" i="32" s="1"/>
  <c r="G20" i="32"/>
  <c r="H20" i="32" s="1"/>
  <c r="H21" i="32" s="1"/>
  <c r="C33" i="32"/>
  <c r="D33" i="32"/>
  <c r="C91" i="31"/>
  <c r="D91" i="31" s="1"/>
  <c r="D24" i="31"/>
  <c r="H12" i="30"/>
  <c r="I12" i="30"/>
  <c r="H60" i="30"/>
  <c r="I60" i="30" s="1"/>
  <c r="H24" i="30"/>
  <c r="I24" i="30" s="1"/>
  <c r="C51" i="26"/>
  <c r="D51" i="26"/>
  <c r="C31" i="26"/>
  <c r="D31" i="26" s="1"/>
  <c r="C15" i="26"/>
  <c r="D15" i="26"/>
  <c r="C90" i="26"/>
  <c r="D90" i="26" s="1"/>
  <c r="I17" i="25"/>
  <c r="E50" i="24"/>
  <c r="F50" i="24" s="1"/>
  <c r="E36" i="24"/>
  <c r="F36" i="24" s="1"/>
  <c r="D16" i="24"/>
  <c r="D18" i="23"/>
  <c r="E18" i="23" s="1"/>
  <c r="F18" i="23" s="1"/>
  <c r="E76" i="23"/>
  <c r="F76" i="23" s="1"/>
  <c r="G76" i="23" s="1"/>
  <c r="E63" i="23"/>
  <c r="F63" i="23" s="1"/>
  <c r="G63" i="23" s="1"/>
  <c r="E44" i="23"/>
  <c r="F44" i="23" s="1"/>
  <c r="G44" i="23" s="1"/>
  <c r="D18" i="22"/>
  <c r="E18" i="22" s="1"/>
  <c r="O23" i="21"/>
  <c r="N23" i="21" s="1"/>
  <c r="P23" i="21" s="1"/>
  <c r="C158" i="21"/>
  <c r="E277" i="21"/>
  <c r="P279" i="21"/>
  <c r="O279" i="21"/>
  <c r="M279" i="21" s="1"/>
  <c r="F159" i="21"/>
  <c r="E159" i="21"/>
  <c r="C159" i="21" s="1"/>
  <c r="D16" i="21"/>
  <c r="F16" i="21" s="1"/>
  <c r="P415" i="21"/>
  <c r="O415" i="21"/>
  <c r="M415" i="21" s="1"/>
  <c r="E451" i="21"/>
  <c r="D411" i="21"/>
  <c r="F411" i="21" s="1"/>
  <c r="E41" i="19"/>
  <c r="E16" i="19"/>
  <c r="F16" i="19" s="1"/>
  <c r="F98" i="16"/>
  <c r="G98" i="16" s="1"/>
  <c r="E99" i="16" s="1"/>
  <c r="F63" i="16"/>
  <c r="G63" i="16" s="1"/>
  <c r="E64" i="16" s="1"/>
  <c r="D19" i="35" l="1"/>
  <c r="E19" i="35" s="1"/>
  <c r="F19" i="35" s="1"/>
  <c r="C85" i="35"/>
  <c r="J20" i="34"/>
  <c r="K20" i="34" s="1"/>
  <c r="D20" i="34"/>
  <c r="E20" i="34"/>
  <c r="G112" i="34"/>
  <c r="F112" i="34"/>
  <c r="D23" i="32"/>
  <c r="C34" i="32"/>
  <c r="D34" i="32" s="1"/>
  <c r="D35" i="32" s="1"/>
  <c r="H34" i="32"/>
  <c r="H35" i="32" s="1"/>
  <c r="G34" i="32"/>
  <c r="C92" i="31"/>
  <c r="D92" i="31"/>
  <c r="E24" i="31"/>
  <c r="F24" i="31" s="1"/>
  <c r="H25" i="30"/>
  <c r="I25" i="30" s="1"/>
  <c r="H61" i="30"/>
  <c r="I61" i="30" s="1"/>
  <c r="C91" i="26"/>
  <c r="D91" i="26"/>
  <c r="C32" i="26"/>
  <c r="D32" i="26" s="1"/>
  <c r="C16" i="26"/>
  <c r="D16" i="26"/>
  <c r="C52" i="26"/>
  <c r="D52" i="26" s="1"/>
  <c r="E16" i="24"/>
  <c r="F16" i="24" s="1"/>
  <c r="D18" i="24"/>
  <c r="D37" i="24"/>
  <c r="D51" i="24"/>
  <c r="E45" i="23"/>
  <c r="F45" i="23" s="1"/>
  <c r="G45" i="23" s="1"/>
  <c r="E77" i="23"/>
  <c r="F77" i="23" s="1"/>
  <c r="G77" i="23" s="1"/>
  <c r="E64" i="23"/>
  <c r="F64" i="23" s="1"/>
  <c r="G64" i="23" s="1"/>
  <c r="D19" i="23"/>
  <c r="E19" i="23" s="1"/>
  <c r="F19" i="23"/>
  <c r="D19" i="22"/>
  <c r="E19" i="22"/>
  <c r="O24" i="21"/>
  <c r="N24" i="21" s="1"/>
  <c r="P24" i="21" s="1"/>
  <c r="E17" i="21"/>
  <c r="P280" i="21"/>
  <c r="O280" i="21"/>
  <c r="M280" i="21" s="1"/>
  <c r="D451" i="21"/>
  <c r="F451" i="21" s="1"/>
  <c r="D277" i="21"/>
  <c r="F277" i="21" s="1"/>
  <c r="E412" i="21"/>
  <c r="P416" i="21"/>
  <c r="O416" i="21"/>
  <c r="M416" i="21" s="1"/>
  <c r="F160" i="21"/>
  <c r="E160" i="21"/>
  <c r="D17" i="19"/>
  <c r="F41" i="19"/>
  <c r="G41" i="19" s="1"/>
  <c r="F99" i="16"/>
  <c r="G99" i="16" s="1"/>
  <c r="E100" i="16" s="1"/>
  <c r="F20" i="35" l="1"/>
  <c r="D20" i="35"/>
  <c r="E20" i="35" s="1"/>
  <c r="J21" i="34"/>
  <c r="K21" i="34" s="1"/>
  <c r="D21" i="34"/>
  <c r="E21" i="34"/>
  <c r="F113" i="34"/>
  <c r="G113" i="34" s="1"/>
  <c r="D25" i="31"/>
  <c r="C93" i="31"/>
  <c r="D93" i="31" s="1"/>
  <c r="H62" i="30"/>
  <c r="I62" i="30" s="1"/>
  <c r="H26" i="30"/>
  <c r="I26" i="30" s="1"/>
  <c r="C53" i="26"/>
  <c r="D53" i="26"/>
  <c r="C33" i="26"/>
  <c r="D33" i="26" s="1"/>
  <c r="C17" i="26"/>
  <c r="D17" i="26"/>
  <c r="E37" i="24"/>
  <c r="F37" i="24" s="1"/>
  <c r="D39" i="24"/>
  <c r="E51" i="24"/>
  <c r="F51" i="24" s="1"/>
  <c r="D53" i="24"/>
  <c r="E78" i="23"/>
  <c r="F78" i="23" s="1"/>
  <c r="G78" i="23" s="1"/>
  <c r="E65" i="23"/>
  <c r="F65" i="23" s="1"/>
  <c r="G65" i="23"/>
  <c r="E46" i="23"/>
  <c r="F46" i="23" s="1"/>
  <c r="G46" i="23"/>
  <c r="D20" i="23"/>
  <c r="E20" i="23" s="1"/>
  <c r="F20" i="23"/>
  <c r="D20" i="22"/>
  <c r="E20" i="22"/>
  <c r="O25" i="21"/>
  <c r="N25" i="21" s="1"/>
  <c r="P25" i="21" s="1"/>
  <c r="C160" i="21"/>
  <c r="E452" i="21"/>
  <c r="D17" i="21"/>
  <c r="F17" i="21" s="1"/>
  <c r="D412" i="21"/>
  <c r="F412" i="21" s="1"/>
  <c r="F161" i="21"/>
  <c r="E161" i="21"/>
  <c r="C161" i="21" s="1"/>
  <c r="P417" i="21"/>
  <c r="O417" i="21"/>
  <c r="M417" i="21" s="1"/>
  <c r="E278" i="21"/>
  <c r="P281" i="21"/>
  <c r="O281" i="21"/>
  <c r="M281" i="21" s="1"/>
  <c r="E42" i="19"/>
  <c r="E17" i="19"/>
  <c r="F17" i="19" s="1"/>
  <c r="F100" i="16"/>
  <c r="G100" i="16" s="1"/>
  <c r="E101" i="16" s="1"/>
  <c r="F64" i="16"/>
  <c r="G64" i="16" s="1"/>
  <c r="E65" i="16" s="1"/>
  <c r="F21" i="35" l="1"/>
  <c r="D21" i="35"/>
  <c r="E21" i="35" s="1"/>
  <c r="F114" i="34"/>
  <c r="G114" i="34"/>
  <c r="J22" i="34"/>
  <c r="K22" i="34"/>
  <c r="D22" i="34"/>
  <c r="E22" i="34"/>
  <c r="C94" i="31"/>
  <c r="D94" i="31" s="1"/>
  <c r="E25" i="31"/>
  <c r="F25" i="31" s="1"/>
  <c r="H27" i="30"/>
  <c r="I27" i="30"/>
  <c r="C34" i="26"/>
  <c r="D34" i="26"/>
  <c r="C54" i="26"/>
  <c r="D54" i="26"/>
  <c r="E79" i="23"/>
  <c r="F79" i="23" s="1"/>
  <c r="G79" i="23" s="1"/>
  <c r="D21" i="23"/>
  <c r="E21" i="23" s="1"/>
  <c r="F21" i="23" s="1"/>
  <c r="E66" i="23"/>
  <c r="F66" i="23" s="1"/>
  <c r="G66" i="23" s="1"/>
  <c r="E47" i="23"/>
  <c r="F47" i="23" s="1"/>
  <c r="G47" i="23" s="1"/>
  <c r="D21" i="22"/>
  <c r="E21" i="22" s="1"/>
  <c r="O26" i="21"/>
  <c r="N26" i="21" s="1"/>
  <c r="P26" i="21" s="1"/>
  <c r="E162" i="21"/>
  <c r="C162" i="21" s="1"/>
  <c r="F162" i="21"/>
  <c r="E18" i="21"/>
  <c r="D18" i="21" s="1"/>
  <c r="F18" i="21" s="1"/>
  <c r="D278" i="21"/>
  <c r="F278" i="21" s="1"/>
  <c r="D452" i="21"/>
  <c r="F452" i="21" s="1"/>
  <c r="P282" i="21"/>
  <c r="O282" i="21"/>
  <c r="M282" i="21" s="1"/>
  <c r="P418" i="21"/>
  <c r="O418" i="21"/>
  <c r="M418" i="21" s="1"/>
  <c r="E413" i="21"/>
  <c r="D413" i="21" s="1"/>
  <c r="F413" i="21" s="1"/>
  <c r="D18" i="19"/>
  <c r="E18" i="19" s="1"/>
  <c r="F18" i="19"/>
  <c r="F42" i="19"/>
  <c r="G42" i="19" s="1"/>
  <c r="F101" i="16"/>
  <c r="G101" i="16" s="1"/>
  <c r="E102" i="16" s="1"/>
  <c r="D22" i="35" l="1"/>
  <c r="E22" i="35" s="1"/>
  <c r="F22" i="35" s="1"/>
  <c r="J23" i="34"/>
  <c r="K23" i="34"/>
  <c r="D23" i="34"/>
  <c r="E23" i="34"/>
  <c r="F115" i="34"/>
  <c r="G115" i="34"/>
  <c r="C95" i="31"/>
  <c r="D95" i="31" s="1"/>
  <c r="D26" i="31"/>
  <c r="E26" i="31" s="1"/>
  <c r="F26" i="31"/>
  <c r="H28" i="30"/>
  <c r="I28" i="30" s="1"/>
  <c r="C55" i="26"/>
  <c r="D55" i="26"/>
  <c r="C35" i="26"/>
  <c r="D35" i="26" s="1"/>
  <c r="E48" i="23"/>
  <c r="F48" i="23" s="1"/>
  <c r="G48" i="23" s="1"/>
  <c r="D22" i="23"/>
  <c r="E22" i="23" s="1"/>
  <c r="F22" i="23" s="1"/>
  <c r="D22" i="22"/>
  <c r="E22" i="22" s="1"/>
  <c r="E19" i="21"/>
  <c r="D19" i="21" s="1"/>
  <c r="F19" i="21" s="1"/>
  <c r="E414" i="21"/>
  <c r="D414" i="21" s="1"/>
  <c r="F414" i="21" s="1"/>
  <c r="O27" i="21"/>
  <c r="N27" i="21" s="1"/>
  <c r="P27" i="21" s="1"/>
  <c r="E279" i="21"/>
  <c r="P419" i="21"/>
  <c r="O419" i="21"/>
  <c r="M419" i="21" s="1"/>
  <c r="P283" i="21"/>
  <c r="O283" i="21"/>
  <c r="M283" i="21" s="1"/>
  <c r="F163" i="21"/>
  <c r="E163" i="21"/>
  <c r="C163" i="21" s="1"/>
  <c r="E453" i="21"/>
  <c r="D453" i="21" s="1"/>
  <c r="F453" i="21" s="1"/>
  <c r="E43" i="19"/>
  <c r="F43" i="19" s="1"/>
  <c r="G43" i="19" s="1"/>
  <c r="D19" i="19"/>
  <c r="E19" i="19" s="1"/>
  <c r="F19" i="19"/>
  <c r="F102" i="16"/>
  <c r="G102" i="16" s="1"/>
  <c r="E103" i="16" s="1"/>
  <c r="F65" i="16"/>
  <c r="G65" i="16" s="1"/>
  <c r="E66" i="16" s="1"/>
  <c r="D23" i="35" l="1"/>
  <c r="E23" i="35" s="1"/>
  <c r="F23" i="35" s="1"/>
  <c r="F116" i="34"/>
  <c r="G116" i="34" s="1"/>
  <c r="D24" i="34"/>
  <c r="E24" i="34"/>
  <c r="J24" i="34"/>
  <c r="K24" i="34"/>
  <c r="C96" i="31"/>
  <c r="D96" i="31"/>
  <c r="D27" i="31"/>
  <c r="E27" i="31" s="1"/>
  <c r="F27" i="31" s="1"/>
  <c r="H29" i="30"/>
  <c r="I29" i="30"/>
  <c r="C36" i="26"/>
  <c r="D36" i="26"/>
  <c r="C56" i="26"/>
  <c r="D56" i="26"/>
  <c r="D23" i="23"/>
  <c r="E23" i="23" s="1"/>
  <c r="F23" i="23" s="1"/>
  <c r="E49" i="23"/>
  <c r="F49" i="23" s="1"/>
  <c r="G49" i="23"/>
  <c r="D23" i="22"/>
  <c r="E23" i="22" s="1"/>
  <c r="E454" i="21"/>
  <c r="D454" i="21" s="1"/>
  <c r="F454" i="21" s="1"/>
  <c r="O28" i="21"/>
  <c r="N28" i="21" s="1"/>
  <c r="P28" i="21" s="1"/>
  <c r="E415" i="21"/>
  <c r="D415" i="21" s="1"/>
  <c r="F415" i="21"/>
  <c r="E20" i="21"/>
  <c r="D20" i="21" s="1"/>
  <c r="F20" i="21" s="1"/>
  <c r="D279" i="21"/>
  <c r="F279" i="21" s="1"/>
  <c r="P284" i="21"/>
  <c r="O284" i="21"/>
  <c r="M284" i="21" s="1"/>
  <c r="F164" i="21"/>
  <c r="E164" i="21"/>
  <c r="C164" i="21" s="1"/>
  <c r="P420" i="21"/>
  <c r="O420" i="21"/>
  <c r="M420" i="21" s="1"/>
  <c r="E44" i="19"/>
  <c r="F44" i="19" s="1"/>
  <c r="G44" i="19" s="1"/>
  <c r="D20" i="19"/>
  <c r="E20" i="19" s="1"/>
  <c r="F20" i="19"/>
  <c r="F66" i="16"/>
  <c r="G66" i="16" s="1"/>
  <c r="E67" i="16" s="1"/>
  <c r="F103" i="16"/>
  <c r="G103" i="16" s="1"/>
  <c r="E104" i="16" s="1"/>
  <c r="D24" i="35" l="1"/>
  <c r="E24" i="35" s="1"/>
  <c r="F24" i="35" s="1"/>
  <c r="F117" i="34"/>
  <c r="G117" i="34"/>
  <c r="J25" i="34"/>
  <c r="K25" i="34"/>
  <c r="D25" i="34"/>
  <c r="E25" i="34"/>
  <c r="D28" i="31"/>
  <c r="E28" i="31" s="1"/>
  <c r="F28" i="31" s="1"/>
  <c r="C97" i="31"/>
  <c r="D97" i="31" s="1"/>
  <c r="H30" i="30"/>
  <c r="I30" i="30" s="1"/>
  <c r="C37" i="26"/>
  <c r="D37" i="26"/>
  <c r="C57" i="26"/>
  <c r="D57" i="26"/>
  <c r="D24" i="23"/>
  <c r="E24" i="23" s="1"/>
  <c r="F24" i="23"/>
  <c r="E50" i="23"/>
  <c r="F50" i="23" s="1"/>
  <c r="G50" i="23" s="1"/>
  <c r="D24" i="22"/>
  <c r="E24" i="22" s="1"/>
  <c r="E21" i="21"/>
  <c r="D21" i="21" s="1"/>
  <c r="F21" i="21" s="1"/>
  <c r="F455" i="21"/>
  <c r="E455" i="21"/>
  <c r="D455" i="21" s="1"/>
  <c r="P421" i="21"/>
  <c r="O421" i="21"/>
  <c r="M421" i="21" s="1"/>
  <c r="F416" i="21"/>
  <c r="E416" i="21"/>
  <c r="D416" i="21" s="1"/>
  <c r="P285" i="21"/>
  <c r="O285" i="21"/>
  <c r="M285" i="21" s="1"/>
  <c r="F165" i="21"/>
  <c r="E165" i="21"/>
  <c r="C165" i="21" s="1"/>
  <c r="E280" i="21"/>
  <c r="D280" i="21" s="1"/>
  <c r="F280" i="21" s="1"/>
  <c r="E45" i="19"/>
  <c r="F45" i="19" s="1"/>
  <c r="G45" i="19" s="1"/>
  <c r="D21" i="19"/>
  <c r="E21" i="19" s="1"/>
  <c r="F21" i="19" s="1"/>
  <c r="F104" i="16"/>
  <c r="G104" i="16" s="1"/>
  <c r="E105" i="16" s="1"/>
  <c r="F67" i="16"/>
  <c r="G67" i="16" s="1"/>
  <c r="E68" i="16" s="1"/>
  <c r="F25" i="35" l="1"/>
  <c r="D25" i="35"/>
  <c r="E25" i="35" s="1"/>
  <c r="J26" i="34"/>
  <c r="K26" i="34"/>
  <c r="D26" i="34"/>
  <c r="E26" i="34"/>
  <c r="F118" i="34"/>
  <c r="G118" i="34"/>
  <c r="C98" i="31"/>
  <c r="D98" i="31" s="1"/>
  <c r="D29" i="31"/>
  <c r="E29" i="31" s="1"/>
  <c r="F29" i="31" s="1"/>
  <c r="H31" i="30"/>
  <c r="I31" i="30"/>
  <c r="C58" i="26"/>
  <c r="D58" i="26"/>
  <c r="E51" i="23"/>
  <c r="F51" i="23" s="1"/>
  <c r="G51" i="23"/>
  <c r="D25" i="23"/>
  <c r="E25" i="23" s="1"/>
  <c r="F25" i="23" s="1"/>
  <c r="D25" i="22"/>
  <c r="E25" i="22"/>
  <c r="E281" i="21"/>
  <c r="D281" i="21" s="1"/>
  <c r="F281" i="21" s="1"/>
  <c r="E22" i="21"/>
  <c r="D22" i="21" s="1"/>
  <c r="F22" i="21" s="1"/>
  <c r="E166" i="21"/>
  <c r="C166" i="21" s="1"/>
  <c r="F166" i="21"/>
  <c r="E417" i="21"/>
  <c r="D417" i="21" s="1"/>
  <c r="F417" i="21"/>
  <c r="E456" i="21"/>
  <c r="D456" i="21" s="1"/>
  <c r="F456" i="21" s="1"/>
  <c r="P286" i="21"/>
  <c r="O286" i="21"/>
  <c r="M286" i="21" s="1"/>
  <c r="P422" i="21"/>
  <c r="O422" i="21"/>
  <c r="M422" i="21" s="1"/>
  <c r="D22" i="19"/>
  <c r="E22" i="19" s="1"/>
  <c r="F22" i="19"/>
  <c r="G46" i="19"/>
  <c r="E46" i="19"/>
  <c r="F46" i="19" s="1"/>
  <c r="F68" i="16"/>
  <c r="G68" i="16" s="1"/>
  <c r="E69" i="16" s="1"/>
  <c r="F105" i="16"/>
  <c r="G105" i="16" s="1"/>
  <c r="E106" i="16" s="1"/>
  <c r="D26" i="35" l="1"/>
  <c r="E26" i="35" s="1"/>
  <c r="F26" i="35" s="1"/>
  <c r="D27" i="34"/>
  <c r="E27" i="34"/>
  <c r="F119" i="34"/>
  <c r="G119" i="34" s="1"/>
  <c r="J27" i="34"/>
  <c r="K27" i="34"/>
  <c r="D30" i="31"/>
  <c r="E30" i="31" s="1"/>
  <c r="F30" i="31"/>
  <c r="C99" i="31"/>
  <c r="D99" i="31" s="1"/>
  <c r="H32" i="30"/>
  <c r="I32" i="30" s="1"/>
  <c r="C59" i="26"/>
  <c r="D59" i="26" s="1"/>
  <c r="D26" i="22"/>
  <c r="E26" i="22" s="1"/>
  <c r="E23" i="21"/>
  <c r="D23" i="21" s="1"/>
  <c r="F23" i="21" s="1"/>
  <c r="E457" i="21"/>
  <c r="D457" i="21" s="1"/>
  <c r="F457" i="21" s="1"/>
  <c r="E282" i="21"/>
  <c r="D282" i="21" s="1"/>
  <c r="F282" i="21" s="1"/>
  <c r="P287" i="21"/>
  <c r="O287" i="21"/>
  <c r="M287" i="21" s="1"/>
  <c r="F167" i="21"/>
  <c r="E167" i="21"/>
  <c r="C167" i="21" s="1"/>
  <c r="E418" i="21"/>
  <c r="D418" i="21" s="1"/>
  <c r="F418" i="21" s="1"/>
  <c r="P423" i="21"/>
  <c r="O423" i="21"/>
  <c r="M423" i="21" s="1"/>
  <c r="E47" i="19"/>
  <c r="F47" i="19" s="1"/>
  <c r="G47" i="19" s="1"/>
  <c r="D23" i="19"/>
  <c r="E23" i="19" s="1"/>
  <c r="F23" i="19"/>
  <c r="F69" i="16"/>
  <c r="G69" i="16" s="1"/>
  <c r="E70" i="16" s="1"/>
  <c r="D27" i="35" l="1"/>
  <c r="E27" i="35" s="1"/>
  <c r="F27" i="35" s="1"/>
  <c r="G120" i="34"/>
  <c r="F120" i="34"/>
  <c r="J28" i="34"/>
  <c r="K28" i="34"/>
  <c r="D28" i="34"/>
  <c r="E28" i="34" s="1"/>
  <c r="C100" i="31"/>
  <c r="D100" i="31" s="1"/>
  <c r="D31" i="31"/>
  <c r="E31" i="31" s="1"/>
  <c r="F31" i="31" s="1"/>
  <c r="C60" i="26"/>
  <c r="D60" i="26"/>
  <c r="D27" i="22"/>
  <c r="E27" i="22" s="1"/>
  <c r="E458" i="21"/>
  <c r="D458" i="21" s="1"/>
  <c r="F458" i="21" s="1"/>
  <c r="E419" i="21"/>
  <c r="D419" i="21" s="1"/>
  <c r="F419" i="21"/>
  <c r="E283" i="21"/>
  <c r="D283" i="21" s="1"/>
  <c r="F283" i="21" s="1"/>
  <c r="E24" i="21"/>
  <c r="D24" i="21" s="1"/>
  <c r="F24" i="21" s="1"/>
  <c r="P288" i="21"/>
  <c r="O288" i="21"/>
  <c r="M288" i="21" s="1"/>
  <c r="P424" i="21"/>
  <c r="O424" i="21"/>
  <c r="M424" i="21" s="1"/>
  <c r="F168" i="21"/>
  <c r="E168" i="21"/>
  <c r="C168" i="21" s="1"/>
  <c r="E48" i="19"/>
  <c r="F48" i="19" s="1"/>
  <c r="G48" i="19" s="1"/>
  <c r="D24" i="19"/>
  <c r="E24" i="19" s="1"/>
  <c r="F24" i="19"/>
  <c r="F70" i="16"/>
  <c r="G70" i="16"/>
  <c r="E71" i="16" s="1"/>
  <c r="F106" i="16"/>
  <c r="G106" i="16" s="1"/>
  <c r="E107" i="16"/>
  <c r="D28" i="35" l="1"/>
  <c r="E28" i="35" s="1"/>
  <c r="F28" i="35" s="1"/>
  <c r="D29" i="34"/>
  <c r="E29" i="34"/>
  <c r="F121" i="34"/>
  <c r="G121" i="34"/>
  <c r="J29" i="34"/>
  <c r="K29" i="34"/>
  <c r="D32" i="31"/>
  <c r="E32" i="31" s="1"/>
  <c r="F32" i="31" s="1"/>
  <c r="C101" i="31"/>
  <c r="D101" i="31" s="1"/>
  <c r="C61" i="26"/>
  <c r="D61" i="26"/>
  <c r="D28" i="22"/>
  <c r="E28" i="22" s="1"/>
  <c r="E284" i="21"/>
  <c r="D284" i="21" s="1"/>
  <c r="F284" i="21" s="1"/>
  <c r="E25" i="21"/>
  <c r="D25" i="21" s="1"/>
  <c r="F25" i="21" s="1"/>
  <c r="E459" i="21"/>
  <c r="D459" i="21" s="1"/>
  <c r="F459" i="21" s="1"/>
  <c r="E420" i="21"/>
  <c r="D420" i="21" s="1"/>
  <c r="F420" i="21" s="1"/>
  <c r="P425" i="21"/>
  <c r="O425" i="21"/>
  <c r="M425" i="21" s="1"/>
  <c r="F169" i="21"/>
  <c r="E169" i="21"/>
  <c r="C169" i="21" s="1"/>
  <c r="P289" i="21"/>
  <c r="O289" i="21"/>
  <c r="M289" i="21" s="1"/>
  <c r="E49" i="19"/>
  <c r="F49" i="19" s="1"/>
  <c r="G49" i="19" s="1"/>
  <c r="D25" i="19"/>
  <c r="F71" i="16"/>
  <c r="G71" i="16" s="1"/>
  <c r="E72" i="16" s="1"/>
  <c r="D29" i="35" l="1"/>
  <c r="E29" i="35" s="1"/>
  <c r="F29" i="35" s="1"/>
  <c r="F122" i="34"/>
  <c r="G122" i="34"/>
  <c r="D30" i="34"/>
  <c r="E30" i="34"/>
  <c r="J30" i="34"/>
  <c r="K30" i="34"/>
  <c r="C102" i="31"/>
  <c r="D102" i="31"/>
  <c r="D33" i="31"/>
  <c r="E33" i="31" s="1"/>
  <c r="F33" i="31"/>
  <c r="C62" i="26"/>
  <c r="D62" i="26"/>
  <c r="D29" i="22"/>
  <c r="E29" i="22"/>
  <c r="E421" i="21"/>
  <c r="D421" i="21" s="1"/>
  <c r="F421" i="21"/>
  <c r="E26" i="21"/>
  <c r="D26" i="21" s="1"/>
  <c r="F26" i="21" s="1"/>
  <c r="E460" i="21"/>
  <c r="D460" i="21" s="1"/>
  <c r="F460" i="21" s="1"/>
  <c r="E285" i="21"/>
  <c r="D285" i="21" s="1"/>
  <c r="F285" i="21" s="1"/>
  <c r="E170" i="21"/>
  <c r="C170" i="21" s="1"/>
  <c r="F170" i="21"/>
  <c r="P290" i="21"/>
  <c r="O290" i="21"/>
  <c r="M290" i="21" s="1"/>
  <c r="P426" i="21"/>
  <c r="O426" i="21"/>
  <c r="M426" i="21" s="1"/>
  <c r="E50" i="19"/>
  <c r="E25" i="19"/>
  <c r="F25" i="19" s="1"/>
  <c r="D26" i="19"/>
  <c r="D30" i="35" l="1"/>
  <c r="E30" i="35" s="1"/>
  <c r="F30" i="35" s="1"/>
  <c r="J31" i="34"/>
  <c r="K31" i="34"/>
  <c r="F123" i="34"/>
  <c r="G123" i="34"/>
  <c r="D31" i="34"/>
  <c r="E31" i="34"/>
  <c r="D34" i="31"/>
  <c r="E34" i="31" s="1"/>
  <c r="F34" i="31" s="1"/>
  <c r="C103" i="31"/>
  <c r="D103" i="31" s="1"/>
  <c r="C63" i="26"/>
  <c r="D63" i="26"/>
  <c r="D30" i="22"/>
  <c r="E30" i="22" s="1"/>
  <c r="E461" i="21"/>
  <c r="D461" i="21" s="1"/>
  <c r="F461" i="21" s="1"/>
  <c r="E27" i="21"/>
  <c r="D27" i="21" s="1"/>
  <c r="F27" i="21" s="1"/>
  <c r="E286" i="21"/>
  <c r="D286" i="21" s="1"/>
  <c r="F286" i="21" s="1"/>
  <c r="P291" i="21"/>
  <c r="O291" i="21"/>
  <c r="M291" i="21" s="1"/>
  <c r="F171" i="21"/>
  <c r="E171" i="21"/>
  <c r="C171" i="21" s="1"/>
  <c r="E422" i="21"/>
  <c r="D422" i="21" s="1"/>
  <c r="F422" i="21" s="1"/>
  <c r="P427" i="21"/>
  <c r="O427" i="21"/>
  <c r="M427" i="21" s="1"/>
  <c r="F50" i="19"/>
  <c r="G50" i="19" s="1"/>
  <c r="E51" i="19"/>
  <c r="H57" i="19" s="1"/>
  <c r="C59" i="19"/>
  <c r="D57" i="19"/>
  <c r="F72" i="16"/>
  <c r="G72" i="16" s="1"/>
  <c r="E73" i="16"/>
  <c r="D111" i="16" s="1"/>
  <c r="D31" i="35" l="1"/>
  <c r="E31" i="35" s="1"/>
  <c r="F31" i="35" s="1"/>
  <c r="D32" i="34"/>
  <c r="E32" i="34"/>
  <c r="J32" i="34"/>
  <c r="K32" i="34"/>
  <c r="F124" i="34"/>
  <c r="G124" i="34" s="1"/>
  <c r="C104" i="31"/>
  <c r="D104" i="31" s="1"/>
  <c r="D35" i="31"/>
  <c r="E35" i="31" s="1"/>
  <c r="F35" i="31" s="1"/>
  <c r="C64" i="26"/>
  <c r="D64" i="26"/>
  <c r="D31" i="22"/>
  <c r="E31" i="22"/>
  <c r="E287" i="21"/>
  <c r="D287" i="21" s="1"/>
  <c r="F287" i="21" s="1"/>
  <c r="E28" i="21"/>
  <c r="D28" i="21" s="1"/>
  <c r="F28" i="21" s="1"/>
  <c r="E423" i="21"/>
  <c r="D423" i="21" s="1"/>
  <c r="F423" i="21"/>
  <c r="E462" i="21"/>
  <c r="D462" i="21" s="1"/>
  <c r="F462" i="21" s="1"/>
  <c r="P292" i="21"/>
  <c r="O292" i="21"/>
  <c r="M292" i="21" s="1"/>
  <c r="P430" i="21"/>
  <c r="O430" i="21"/>
  <c r="M430" i="21" s="1"/>
  <c r="F172" i="21"/>
  <c r="E172" i="21"/>
  <c r="C172" i="21" s="1"/>
  <c r="D32" i="35" l="1"/>
  <c r="E32" i="35" s="1"/>
  <c r="F32" i="35" s="1"/>
  <c r="F125" i="34"/>
  <c r="G125" i="34"/>
  <c r="D33" i="34"/>
  <c r="E33" i="34"/>
  <c r="J33" i="34"/>
  <c r="K33" i="34"/>
  <c r="D36" i="31"/>
  <c r="E36" i="31" s="1"/>
  <c r="F36" i="31"/>
  <c r="C105" i="31"/>
  <c r="D105" i="31" s="1"/>
  <c r="C65" i="26"/>
  <c r="D65" i="26"/>
  <c r="D32" i="22"/>
  <c r="E32" i="22" s="1"/>
  <c r="F29" i="21"/>
  <c r="E29" i="21"/>
  <c r="D29" i="21" s="1"/>
  <c r="E463" i="21"/>
  <c r="D463" i="21" s="1"/>
  <c r="F463" i="21" s="1"/>
  <c r="F288" i="21"/>
  <c r="E288" i="21"/>
  <c r="D288" i="21" s="1"/>
  <c r="P431" i="21"/>
  <c r="O431" i="21"/>
  <c r="M431" i="21" s="1"/>
  <c r="F424" i="21"/>
  <c r="E424" i="21"/>
  <c r="D424" i="21" s="1"/>
  <c r="F173" i="21"/>
  <c r="E173" i="21"/>
  <c r="C173" i="21" s="1"/>
  <c r="P293" i="21"/>
  <c r="O293" i="21"/>
  <c r="M293" i="21" s="1"/>
  <c r="D33" i="35" l="1"/>
  <c r="E33" i="35" s="1"/>
  <c r="F33" i="35" s="1"/>
  <c r="D34" i="34"/>
  <c r="E34" i="34" s="1"/>
  <c r="J34" i="34"/>
  <c r="K34" i="34"/>
  <c r="F126" i="34"/>
  <c r="G126" i="34" s="1"/>
  <c r="C106" i="31"/>
  <c r="D106" i="31" s="1"/>
  <c r="D37" i="31"/>
  <c r="E37" i="31" s="1"/>
  <c r="F37" i="31" s="1"/>
  <c r="C66" i="26"/>
  <c r="D66" i="26"/>
  <c r="D33" i="22"/>
  <c r="E33" i="22" s="1"/>
  <c r="E464" i="21"/>
  <c r="D464" i="21" s="1"/>
  <c r="F464" i="21" s="1"/>
  <c r="E425" i="21"/>
  <c r="D425" i="21" s="1"/>
  <c r="F425" i="21"/>
  <c r="E30" i="21"/>
  <c r="D30" i="21" s="1"/>
  <c r="F30" i="21" s="1"/>
  <c r="E174" i="21"/>
  <c r="C174" i="21" s="1"/>
  <c r="F174" i="21"/>
  <c r="P432" i="21"/>
  <c r="O432" i="21"/>
  <c r="M432" i="21" s="1"/>
  <c r="P294" i="21"/>
  <c r="O294" i="21"/>
  <c r="M294" i="21" s="1"/>
  <c r="E289" i="21"/>
  <c r="D289" i="21" s="1"/>
  <c r="F289" i="21" s="1"/>
  <c r="D34" i="35" l="1"/>
  <c r="E34" i="35" s="1"/>
  <c r="F34" i="35" s="1"/>
  <c r="F127" i="34"/>
  <c r="G127" i="34" s="1"/>
  <c r="D35" i="34"/>
  <c r="E35" i="34"/>
  <c r="J35" i="34"/>
  <c r="K35" i="34" s="1"/>
  <c r="D38" i="31"/>
  <c r="E38" i="31" s="1"/>
  <c r="F38" i="31" s="1"/>
  <c r="C107" i="31"/>
  <c r="D107" i="31" s="1"/>
  <c r="C67" i="26"/>
  <c r="D67" i="26"/>
  <c r="D34" i="22"/>
  <c r="E34" i="22" s="1"/>
  <c r="E31" i="21"/>
  <c r="D31" i="21" s="1"/>
  <c r="F31" i="21" s="1"/>
  <c r="E290" i="21"/>
  <c r="D290" i="21" s="1"/>
  <c r="F290" i="21" s="1"/>
  <c r="E465" i="21"/>
  <c r="D465" i="21" s="1"/>
  <c r="F465" i="21" s="1"/>
  <c r="F175" i="21"/>
  <c r="E175" i="21"/>
  <c r="C175" i="21" s="1"/>
  <c r="P295" i="21"/>
  <c r="O295" i="21"/>
  <c r="M295" i="21" s="1"/>
  <c r="E426" i="21"/>
  <c r="D426" i="21" s="1"/>
  <c r="F426" i="21" s="1"/>
  <c r="P433" i="21"/>
  <c r="O433" i="21"/>
  <c r="M433" i="21" s="1"/>
  <c r="D35" i="35" l="1"/>
  <c r="E35" i="35" s="1"/>
  <c r="F35" i="35" s="1"/>
  <c r="J36" i="34"/>
  <c r="K36" i="34"/>
  <c r="F128" i="34"/>
  <c r="G128" i="34" s="1"/>
  <c r="D36" i="34"/>
  <c r="E36" i="34"/>
  <c r="C108" i="31"/>
  <c r="D108" i="31"/>
  <c r="D39" i="31"/>
  <c r="E39" i="31" s="1"/>
  <c r="F39" i="31"/>
  <c r="C68" i="26"/>
  <c r="D68" i="26"/>
  <c r="E427" i="21"/>
  <c r="E466" i="21"/>
  <c r="D466" i="21" s="1"/>
  <c r="F466" i="21" s="1"/>
  <c r="E291" i="21"/>
  <c r="D291" i="21" s="1"/>
  <c r="F291" i="21" s="1"/>
  <c r="E32" i="21"/>
  <c r="D32" i="21" s="1"/>
  <c r="F32" i="21" s="1"/>
  <c r="F176" i="21"/>
  <c r="E176" i="21"/>
  <c r="C176" i="21" s="1"/>
  <c r="P434" i="21"/>
  <c r="O434" i="21"/>
  <c r="M434" i="21" s="1"/>
  <c r="P296" i="21"/>
  <c r="O296" i="21"/>
  <c r="M296" i="21" s="1"/>
  <c r="D36" i="35" l="1"/>
  <c r="E36" i="35" s="1"/>
  <c r="F36" i="35" s="1"/>
  <c r="F129" i="34"/>
  <c r="G129" i="34"/>
  <c r="D37" i="34"/>
  <c r="E37" i="34"/>
  <c r="J37" i="34"/>
  <c r="K37" i="34"/>
  <c r="D40" i="31"/>
  <c r="E40" i="31" s="1"/>
  <c r="F40" i="31" s="1"/>
  <c r="C109" i="31"/>
  <c r="D109" i="31" s="1"/>
  <c r="C69" i="26"/>
  <c r="D69" i="26"/>
  <c r="E292" i="21"/>
  <c r="D292" i="21" s="1"/>
  <c r="F292" i="21" s="1"/>
  <c r="E467" i="21"/>
  <c r="D467" i="21" s="1"/>
  <c r="F467" i="21" s="1"/>
  <c r="E33" i="21"/>
  <c r="D33" i="21" s="1"/>
  <c r="F33" i="21" s="1"/>
  <c r="D427" i="21"/>
  <c r="F427" i="21" s="1"/>
  <c r="H425" i="21"/>
  <c r="I425" i="21" s="1"/>
  <c r="P297" i="21"/>
  <c r="O297" i="21"/>
  <c r="M297" i="21" s="1"/>
  <c r="F177" i="21"/>
  <c r="E177" i="21"/>
  <c r="C177" i="21" s="1"/>
  <c r="D37" i="35" l="1"/>
  <c r="E37" i="35" s="1"/>
  <c r="F37" i="35" s="1"/>
  <c r="D38" i="34"/>
  <c r="E38" i="34"/>
  <c r="F130" i="34"/>
  <c r="G130" i="34"/>
  <c r="J38" i="34"/>
  <c r="K38" i="34"/>
  <c r="C110" i="31"/>
  <c r="D110" i="31" s="1"/>
  <c r="D41" i="31"/>
  <c r="E41" i="31" s="1"/>
  <c r="F41" i="31" s="1"/>
  <c r="C70" i="26"/>
  <c r="D70" i="26"/>
  <c r="E468" i="21"/>
  <c r="D468" i="21" s="1"/>
  <c r="F468" i="21" s="1"/>
  <c r="E34" i="21"/>
  <c r="D34" i="21" s="1"/>
  <c r="F34" i="21" s="1"/>
  <c r="E293" i="21"/>
  <c r="D293" i="21" s="1"/>
  <c r="F293" i="21" s="1"/>
  <c r="E430" i="21"/>
  <c r="E178" i="21"/>
  <c r="C178" i="21" s="1"/>
  <c r="F178" i="21"/>
  <c r="P298" i="21"/>
  <c r="O298" i="21"/>
  <c r="M298" i="21" s="1"/>
  <c r="D38" i="35" l="1"/>
  <c r="E38" i="35" s="1"/>
  <c r="F38" i="35" s="1"/>
  <c r="F131" i="34"/>
  <c r="G131" i="34"/>
  <c r="J39" i="34"/>
  <c r="K39" i="34"/>
  <c r="D39" i="34"/>
  <c r="E39" i="34"/>
  <c r="D42" i="31"/>
  <c r="E42" i="31" s="1"/>
  <c r="F42" i="31" s="1"/>
  <c r="C111" i="31"/>
  <c r="D111" i="31" s="1"/>
  <c r="C71" i="26"/>
  <c r="D71" i="26"/>
  <c r="E294" i="21"/>
  <c r="D294" i="21" s="1"/>
  <c r="F294" i="21" s="1"/>
  <c r="E35" i="21"/>
  <c r="D35" i="21" s="1"/>
  <c r="F35" i="21" s="1"/>
  <c r="E469" i="21"/>
  <c r="D469" i="21" s="1"/>
  <c r="F469" i="21" s="1"/>
  <c r="P299" i="21"/>
  <c r="O299" i="21"/>
  <c r="M299" i="21" s="1"/>
  <c r="F179" i="21"/>
  <c r="E179" i="21"/>
  <c r="C179" i="21" s="1"/>
  <c r="D430" i="21"/>
  <c r="F430" i="21" s="1"/>
  <c r="D39" i="35" l="1"/>
  <c r="E39" i="35" s="1"/>
  <c r="F39" i="35" s="1"/>
  <c r="F132" i="34"/>
  <c r="G132" i="34" s="1"/>
  <c r="J40" i="34"/>
  <c r="K40" i="34"/>
  <c r="D40" i="34"/>
  <c r="E40" i="34"/>
  <c r="C112" i="31"/>
  <c r="D112" i="31"/>
  <c r="D43" i="31"/>
  <c r="E43" i="31" s="1"/>
  <c r="F43" i="31" s="1"/>
  <c r="C72" i="26"/>
  <c r="D72" i="26"/>
  <c r="E470" i="21"/>
  <c r="D470" i="21" s="1"/>
  <c r="F470" i="21" s="1"/>
  <c r="E36" i="21"/>
  <c r="D36" i="21" s="1"/>
  <c r="F36" i="21" s="1"/>
  <c r="E295" i="21"/>
  <c r="D295" i="21" s="1"/>
  <c r="F295" i="21" s="1"/>
  <c r="P300" i="21"/>
  <c r="O300" i="21"/>
  <c r="M300" i="21" s="1"/>
  <c r="E431" i="21"/>
  <c r="F180" i="21"/>
  <c r="E180" i="21"/>
  <c r="C180" i="21" s="1"/>
  <c r="D40" i="35" l="1"/>
  <c r="E40" i="35" s="1"/>
  <c r="F40" i="35" s="1"/>
  <c r="F133" i="34"/>
  <c r="G133" i="34"/>
  <c r="J41" i="34"/>
  <c r="K41" i="34"/>
  <c r="D41" i="34"/>
  <c r="E41" i="34"/>
  <c r="D44" i="31"/>
  <c r="E44" i="31" s="1"/>
  <c r="F44" i="31"/>
  <c r="C113" i="31"/>
  <c r="D113" i="31" s="1"/>
  <c r="C73" i="26"/>
  <c r="D73" i="26"/>
  <c r="E471" i="21"/>
  <c r="D471" i="21" s="1"/>
  <c r="F471" i="21" s="1"/>
  <c r="E296" i="21"/>
  <c r="D296" i="21" s="1"/>
  <c r="F296" i="21" s="1"/>
  <c r="E37" i="21"/>
  <c r="D37" i="21" s="1"/>
  <c r="F37" i="21" s="1"/>
  <c r="P301" i="21"/>
  <c r="O301" i="21"/>
  <c r="M301" i="21" s="1"/>
  <c r="D431" i="21"/>
  <c r="F431" i="21" s="1"/>
  <c r="F181" i="21"/>
  <c r="E181" i="21"/>
  <c r="C181" i="21" s="1"/>
  <c r="D41" i="35" l="1"/>
  <c r="E41" i="35" s="1"/>
  <c r="F41" i="35" s="1"/>
  <c r="J42" i="34"/>
  <c r="K42" i="34"/>
  <c r="D42" i="34"/>
  <c r="E42" i="34"/>
  <c r="F134" i="34"/>
  <c r="G134" i="34"/>
  <c r="C114" i="31"/>
  <c r="D114" i="31" s="1"/>
  <c r="D45" i="31"/>
  <c r="E45" i="31" s="1"/>
  <c r="F45" i="31" s="1"/>
  <c r="C74" i="26"/>
  <c r="D74" i="26" s="1"/>
  <c r="E38" i="21"/>
  <c r="D38" i="21" s="1"/>
  <c r="F38" i="21" s="1"/>
  <c r="E297" i="21"/>
  <c r="D297" i="21" s="1"/>
  <c r="F297" i="21" s="1"/>
  <c r="E472" i="21"/>
  <c r="D472" i="21" s="1"/>
  <c r="F472" i="21" s="1"/>
  <c r="E182" i="21"/>
  <c r="C182" i="21" s="1"/>
  <c r="F182" i="21"/>
  <c r="P302" i="21"/>
  <c r="O302" i="21"/>
  <c r="M302" i="21" s="1"/>
  <c r="E432" i="21"/>
  <c r="D42" i="35" l="1"/>
  <c r="E42" i="35" s="1"/>
  <c r="F42" i="35" s="1"/>
  <c r="D43" i="34"/>
  <c r="E43" i="34"/>
  <c r="F135" i="34"/>
  <c r="G135" i="34"/>
  <c r="J43" i="34"/>
  <c r="K43" i="34"/>
  <c r="D46" i="31"/>
  <c r="E46" i="31" s="1"/>
  <c r="F46" i="31"/>
  <c r="C115" i="31"/>
  <c r="D115" i="31" s="1"/>
  <c r="C75" i="26"/>
  <c r="D75" i="26"/>
  <c r="E298" i="21"/>
  <c r="D298" i="21" s="1"/>
  <c r="F298" i="21" s="1"/>
  <c r="E473" i="21"/>
  <c r="D473" i="21" s="1"/>
  <c r="F473" i="21" s="1"/>
  <c r="E39" i="21"/>
  <c r="D39" i="21" s="1"/>
  <c r="F39" i="21" s="1"/>
  <c r="D432" i="21"/>
  <c r="F432" i="21" s="1"/>
  <c r="F183" i="21"/>
  <c r="E183" i="21"/>
  <c r="C183" i="21" s="1"/>
  <c r="P303" i="21"/>
  <c r="O303" i="21"/>
  <c r="M303" i="21" s="1"/>
  <c r="D43" i="35" l="1"/>
  <c r="E43" i="35" s="1"/>
  <c r="F43" i="35" s="1"/>
  <c r="D44" i="34"/>
  <c r="E44" i="34" s="1"/>
  <c r="F136" i="34"/>
  <c r="G136" i="34" s="1"/>
  <c r="J44" i="34"/>
  <c r="K44" i="34" s="1"/>
  <c r="C116" i="31"/>
  <c r="D116" i="31"/>
  <c r="D47" i="31"/>
  <c r="E47" i="31" s="1"/>
  <c r="F47" i="31" s="1"/>
  <c r="C76" i="26"/>
  <c r="D76" i="26" s="1"/>
  <c r="E474" i="21"/>
  <c r="D474" i="21" s="1"/>
  <c r="F474" i="21" s="1"/>
  <c r="E40" i="21"/>
  <c r="D40" i="21" s="1"/>
  <c r="F40" i="21" s="1"/>
  <c r="E299" i="21"/>
  <c r="D299" i="21" s="1"/>
  <c r="F299" i="21" s="1"/>
  <c r="P304" i="21"/>
  <c r="O304" i="21"/>
  <c r="M304" i="21" s="1"/>
  <c r="E433" i="21"/>
  <c r="F184" i="21"/>
  <c r="E184" i="21"/>
  <c r="C184" i="21" s="1"/>
  <c r="F44" i="35" l="1"/>
  <c r="D44" i="35"/>
  <c r="E44" i="35" s="1"/>
  <c r="J45" i="34"/>
  <c r="K45" i="34"/>
  <c r="F137" i="34"/>
  <c r="G137" i="34"/>
  <c r="D45" i="34"/>
  <c r="E45" i="34"/>
  <c r="D48" i="31"/>
  <c r="E48" i="31" s="1"/>
  <c r="F48" i="31"/>
  <c r="C117" i="31"/>
  <c r="D117" i="31" s="1"/>
  <c r="E300" i="21"/>
  <c r="D300" i="21" s="1"/>
  <c r="F300" i="21" s="1"/>
  <c r="E41" i="21"/>
  <c r="D41" i="21" s="1"/>
  <c r="F41" i="21" s="1"/>
  <c r="E475" i="21"/>
  <c r="D475" i="21" s="1"/>
  <c r="F475" i="21" s="1"/>
  <c r="D433" i="21"/>
  <c r="F433" i="21" s="1"/>
  <c r="F185" i="21"/>
  <c r="E185" i="21"/>
  <c r="C185" i="21" s="1"/>
  <c r="P305" i="21"/>
  <c r="O305" i="21"/>
  <c r="M305" i="21" s="1"/>
  <c r="D45" i="35" l="1"/>
  <c r="E45" i="35" s="1"/>
  <c r="F45" i="35" s="1"/>
  <c r="F138" i="34"/>
  <c r="G138" i="34"/>
  <c r="D46" i="34"/>
  <c r="E46" i="34"/>
  <c r="J46" i="34"/>
  <c r="K46" i="34"/>
  <c r="C118" i="31"/>
  <c r="D118" i="31" s="1"/>
  <c r="D49" i="31"/>
  <c r="E49" i="31" s="1"/>
  <c r="F49" i="31" s="1"/>
  <c r="E476" i="21"/>
  <c r="D476" i="21" s="1"/>
  <c r="F476" i="21" s="1"/>
  <c r="E42" i="21"/>
  <c r="D42" i="21" s="1"/>
  <c r="F42" i="21" s="1"/>
  <c r="E301" i="21"/>
  <c r="D301" i="21" s="1"/>
  <c r="F301" i="21" s="1"/>
  <c r="E186" i="21"/>
  <c r="C186" i="21" s="1"/>
  <c r="F186" i="21"/>
  <c r="P306" i="21"/>
  <c r="O306" i="21"/>
  <c r="M306" i="21" s="1"/>
  <c r="E434" i="21"/>
  <c r="D46" i="35" l="1"/>
  <c r="E46" i="35" s="1"/>
  <c r="F46" i="35" s="1"/>
  <c r="D47" i="34"/>
  <c r="E47" i="34"/>
  <c r="J47" i="34"/>
  <c r="K47" i="34"/>
  <c r="F139" i="34"/>
  <c r="G139" i="34"/>
  <c r="D50" i="31"/>
  <c r="E50" i="31" s="1"/>
  <c r="F50" i="31"/>
  <c r="C119" i="31"/>
  <c r="D119" i="31" s="1"/>
  <c r="E302" i="21"/>
  <c r="D302" i="21" s="1"/>
  <c r="F302" i="21" s="1"/>
  <c r="E43" i="21"/>
  <c r="D43" i="21" s="1"/>
  <c r="F43" i="21" s="1"/>
  <c r="E477" i="21"/>
  <c r="D477" i="21" s="1"/>
  <c r="F477" i="21" s="1"/>
  <c r="P307" i="21"/>
  <c r="O307" i="21"/>
  <c r="M307" i="21" s="1"/>
  <c r="D434" i="21"/>
  <c r="F434" i="21" s="1"/>
  <c r="E435" i="21"/>
  <c r="F435" i="21" s="1"/>
  <c r="I435" i="21" s="1"/>
  <c r="F187" i="21"/>
  <c r="E187" i="21"/>
  <c r="C187" i="21" s="1"/>
  <c r="D47" i="35" l="1"/>
  <c r="E47" i="35" s="1"/>
  <c r="F47" i="35" s="1"/>
  <c r="J48" i="34"/>
  <c r="K48" i="34"/>
  <c r="F140" i="34"/>
  <c r="G140" i="34" s="1"/>
  <c r="D48" i="34"/>
  <c r="E48" i="34"/>
  <c r="C120" i="31"/>
  <c r="D120" i="31"/>
  <c r="D51" i="31"/>
  <c r="E51" i="31" s="1"/>
  <c r="F51" i="31"/>
  <c r="E303" i="21"/>
  <c r="D303" i="21" s="1"/>
  <c r="F303" i="21"/>
  <c r="E478" i="21"/>
  <c r="D478" i="21" s="1"/>
  <c r="F478" i="21" s="1"/>
  <c r="E44" i="21"/>
  <c r="D44" i="21" s="1"/>
  <c r="F44" i="21" s="1"/>
  <c r="F188" i="21"/>
  <c r="E188" i="21"/>
  <c r="C188" i="21" s="1"/>
  <c r="P308" i="21"/>
  <c r="O308" i="21"/>
  <c r="M308" i="21" s="1"/>
  <c r="D48" i="35" l="1"/>
  <c r="E48" i="35" s="1"/>
  <c r="F48" i="35" s="1"/>
  <c r="F141" i="34"/>
  <c r="G141" i="34" s="1"/>
  <c r="D49" i="34"/>
  <c r="E49" i="34"/>
  <c r="J49" i="34"/>
  <c r="K49" i="34" s="1"/>
  <c r="D52" i="31"/>
  <c r="E52" i="31" s="1"/>
  <c r="F52" i="31" s="1"/>
  <c r="C121" i="31"/>
  <c r="D121" i="31" s="1"/>
  <c r="E45" i="21"/>
  <c r="D45" i="21" s="1"/>
  <c r="F45" i="21" s="1"/>
  <c r="E479" i="21"/>
  <c r="D479" i="21" s="1"/>
  <c r="F479" i="21" s="1"/>
  <c r="E304" i="21"/>
  <c r="D304" i="21" s="1"/>
  <c r="F304" i="21" s="1"/>
  <c r="F189" i="21"/>
  <c r="E189" i="21"/>
  <c r="C189" i="21" s="1"/>
  <c r="P309" i="21"/>
  <c r="O309" i="21"/>
  <c r="M309" i="21" s="1"/>
  <c r="D49" i="35" l="1"/>
  <c r="E49" i="35" s="1"/>
  <c r="F49" i="35" s="1"/>
  <c r="J50" i="34"/>
  <c r="K50" i="34"/>
  <c r="F142" i="34"/>
  <c r="G142" i="34"/>
  <c r="D50" i="34"/>
  <c r="E50" i="34"/>
  <c r="C122" i="31"/>
  <c r="D122" i="31"/>
  <c r="D53" i="31"/>
  <c r="E53" i="31" s="1"/>
  <c r="F53" i="31"/>
  <c r="E305" i="21"/>
  <c r="D305" i="21" s="1"/>
  <c r="F305" i="21" s="1"/>
  <c r="E480" i="21"/>
  <c r="D480" i="21" s="1"/>
  <c r="F480" i="21" s="1"/>
  <c r="E46" i="21"/>
  <c r="D46" i="21" s="1"/>
  <c r="F46" i="21" s="1"/>
  <c r="E190" i="21"/>
  <c r="C190" i="21" s="1"/>
  <c r="F190" i="21"/>
  <c r="P310" i="21"/>
  <c r="O310" i="21"/>
  <c r="M310" i="21" s="1"/>
  <c r="D50" i="35" l="1"/>
  <c r="E50" i="35" s="1"/>
  <c r="F50" i="35" s="1"/>
  <c r="F143" i="34"/>
  <c r="G143" i="34" s="1"/>
  <c r="J51" i="34"/>
  <c r="K51" i="34"/>
  <c r="D51" i="34"/>
  <c r="E51" i="34" s="1"/>
  <c r="D54" i="31"/>
  <c r="E54" i="31" s="1"/>
  <c r="F54" i="31" s="1"/>
  <c r="C123" i="31"/>
  <c r="D123" i="31" s="1"/>
  <c r="E47" i="21"/>
  <c r="D47" i="21" s="1"/>
  <c r="F47" i="21" s="1"/>
  <c r="E481" i="21"/>
  <c r="D481" i="21" s="1"/>
  <c r="F481" i="21" s="1"/>
  <c r="E306" i="21"/>
  <c r="D306" i="21" s="1"/>
  <c r="F306" i="21" s="1"/>
  <c r="F191" i="21"/>
  <c r="E191" i="21"/>
  <c r="C191" i="21" s="1"/>
  <c r="P311" i="21"/>
  <c r="O311" i="21"/>
  <c r="M311" i="21" s="1"/>
  <c r="D51" i="35" l="1"/>
  <c r="E51" i="35" s="1"/>
  <c r="F51" i="35" s="1"/>
  <c r="D52" i="34"/>
  <c r="E52" i="34"/>
  <c r="F144" i="34"/>
  <c r="G144" i="34" s="1"/>
  <c r="J52" i="34"/>
  <c r="K52" i="34"/>
  <c r="C124" i="31"/>
  <c r="D124" i="31"/>
  <c r="D55" i="31"/>
  <c r="E55" i="31" s="1"/>
  <c r="F55" i="31"/>
  <c r="E307" i="21"/>
  <c r="D307" i="21" s="1"/>
  <c r="F307" i="21" s="1"/>
  <c r="E482" i="21"/>
  <c r="D482" i="21" s="1"/>
  <c r="F482" i="21" s="1"/>
  <c r="E48" i="21"/>
  <c r="D48" i="21" s="1"/>
  <c r="F48" i="21" s="1"/>
  <c r="F192" i="21"/>
  <c r="E192" i="21"/>
  <c r="C192" i="21" s="1"/>
  <c r="P312" i="21"/>
  <c r="O312" i="21"/>
  <c r="M312" i="21" s="1"/>
  <c r="D52" i="35" l="1"/>
  <c r="E52" i="35" s="1"/>
  <c r="F52" i="35" s="1"/>
  <c r="F145" i="34"/>
  <c r="G145" i="34"/>
  <c r="J53" i="34"/>
  <c r="K53" i="34"/>
  <c r="D53" i="34"/>
  <c r="E53" i="34"/>
  <c r="D56" i="31"/>
  <c r="E56" i="31" s="1"/>
  <c r="F56" i="31" s="1"/>
  <c r="C125" i="31"/>
  <c r="D125" i="31" s="1"/>
  <c r="E49" i="21"/>
  <c r="D49" i="21" s="1"/>
  <c r="F49" i="21" s="1"/>
  <c r="E483" i="21"/>
  <c r="D483" i="21" s="1"/>
  <c r="F483" i="21" s="1"/>
  <c r="E308" i="21"/>
  <c r="D308" i="21" s="1"/>
  <c r="F308" i="21" s="1"/>
  <c r="F193" i="21"/>
  <c r="E193" i="21"/>
  <c r="C193" i="21" s="1"/>
  <c r="P313" i="21"/>
  <c r="O313" i="21"/>
  <c r="M313" i="21" s="1"/>
  <c r="D53" i="35" l="1"/>
  <c r="E53" i="35" s="1"/>
  <c r="F53" i="35" s="1"/>
  <c r="J54" i="34"/>
  <c r="K54" i="34"/>
  <c r="F146" i="34"/>
  <c r="G146" i="34"/>
  <c r="D54" i="34"/>
  <c r="E54" i="34"/>
  <c r="C126" i="31"/>
  <c r="D126" i="31" s="1"/>
  <c r="D57" i="31"/>
  <c r="E57" i="31" s="1"/>
  <c r="F57" i="31" s="1"/>
  <c r="E309" i="21"/>
  <c r="D309" i="21" s="1"/>
  <c r="F309" i="21" s="1"/>
  <c r="E484" i="21"/>
  <c r="D484" i="21" s="1"/>
  <c r="F484" i="21" s="1"/>
  <c r="E50" i="21"/>
  <c r="D50" i="21" s="1"/>
  <c r="F50" i="21" s="1"/>
  <c r="E194" i="21"/>
  <c r="C194" i="21" s="1"/>
  <c r="F194" i="21"/>
  <c r="P314" i="21"/>
  <c r="O314" i="21"/>
  <c r="M314" i="21" s="1"/>
  <c r="D54" i="35" l="1"/>
  <c r="E54" i="35" s="1"/>
  <c r="F54" i="35" s="1"/>
  <c r="F147" i="34"/>
  <c r="G147" i="34"/>
  <c r="D55" i="34"/>
  <c r="E55" i="34" s="1"/>
  <c r="J55" i="34"/>
  <c r="K55" i="34"/>
  <c r="D58" i="31"/>
  <c r="E58" i="31" s="1"/>
  <c r="F58" i="31"/>
  <c r="C127" i="31"/>
  <c r="D127" i="31" s="1"/>
  <c r="E51" i="21"/>
  <c r="D51" i="21" s="1"/>
  <c r="F51" i="21" s="1"/>
  <c r="E485" i="21"/>
  <c r="D485" i="21" s="1"/>
  <c r="F485" i="21" s="1"/>
  <c r="E310" i="21"/>
  <c r="D310" i="21" s="1"/>
  <c r="F310" i="21" s="1"/>
  <c r="F195" i="21"/>
  <c r="E195" i="21"/>
  <c r="C195" i="21" s="1"/>
  <c r="P315" i="21"/>
  <c r="O315" i="21"/>
  <c r="M315" i="21" s="1"/>
  <c r="F55" i="35" l="1"/>
  <c r="D55" i="35"/>
  <c r="E55" i="35" s="1"/>
  <c r="D56" i="34"/>
  <c r="E56" i="34"/>
  <c r="F148" i="34"/>
  <c r="G148" i="34" s="1"/>
  <c r="J56" i="34"/>
  <c r="K56" i="34"/>
  <c r="D59" i="31"/>
  <c r="E59" i="31" s="1"/>
  <c r="F59" i="31" s="1"/>
  <c r="E52" i="21"/>
  <c r="D52" i="21" s="1"/>
  <c r="F52" i="21" s="1"/>
  <c r="E311" i="21"/>
  <c r="D311" i="21" s="1"/>
  <c r="F311" i="21" s="1"/>
  <c r="E486" i="21"/>
  <c r="D486" i="21" s="1"/>
  <c r="F486" i="21" s="1"/>
  <c r="F196" i="21"/>
  <c r="E196" i="21"/>
  <c r="C196" i="21" s="1"/>
  <c r="P316" i="21"/>
  <c r="O316" i="21"/>
  <c r="M316" i="21" s="1"/>
  <c r="D56" i="35" l="1"/>
  <c r="E56" i="35" s="1"/>
  <c r="F56" i="35" s="1"/>
  <c r="F149" i="34"/>
  <c r="G149" i="34"/>
  <c r="J57" i="34"/>
  <c r="K57" i="34"/>
  <c r="D57" i="34"/>
  <c r="E57" i="34"/>
  <c r="D60" i="31"/>
  <c r="E60" i="31" s="1"/>
  <c r="F60" i="31" s="1"/>
  <c r="E487" i="21"/>
  <c r="D487" i="21" s="1"/>
  <c r="F487" i="21" s="1"/>
  <c r="E312" i="21"/>
  <c r="D312" i="21" s="1"/>
  <c r="F312" i="21" s="1"/>
  <c r="E53" i="21"/>
  <c r="D53" i="21" s="1"/>
  <c r="F53" i="21" s="1"/>
  <c r="F197" i="21"/>
  <c r="E197" i="21"/>
  <c r="C197" i="21" s="1"/>
  <c r="P317" i="21"/>
  <c r="O317" i="21"/>
  <c r="M317" i="21" s="1"/>
  <c r="D57" i="35" l="1"/>
  <c r="E57" i="35" s="1"/>
  <c r="F57" i="35" s="1"/>
  <c r="D58" i="34"/>
  <c r="E58" i="34"/>
  <c r="J58" i="34"/>
  <c r="K58" i="34" s="1"/>
  <c r="F150" i="34"/>
  <c r="G150" i="34" s="1"/>
  <c r="D61" i="31"/>
  <c r="E61" i="31" s="1"/>
  <c r="F61" i="31"/>
  <c r="E54" i="21"/>
  <c r="D54" i="21" s="1"/>
  <c r="F54" i="21" s="1"/>
  <c r="E313" i="21"/>
  <c r="D313" i="21" s="1"/>
  <c r="F313" i="21" s="1"/>
  <c r="E488" i="21"/>
  <c r="D488" i="21" s="1"/>
  <c r="F488" i="21" s="1"/>
  <c r="P318" i="21"/>
  <c r="O318" i="21"/>
  <c r="M318" i="21" s="1"/>
  <c r="E198" i="21"/>
  <c r="C198" i="21" s="1"/>
  <c r="F198" i="21"/>
  <c r="D58" i="35" l="1"/>
  <c r="E58" i="35" s="1"/>
  <c r="F58" i="35" s="1"/>
  <c r="F151" i="34"/>
  <c r="G151" i="34"/>
  <c r="J59" i="34"/>
  <c r="K59" i="34" s="1"/>
  <c r="D59" i="34"/>
  <c r="E59" i="34"/>
  <c r="D62" i="31"/>
  <c r="E489" i="21"/>
  <c r="D489" i="21" s="1"/>
  <c r="F489" i="21" s="1"/>
  <c r="E314" i="21"/>
  <c r="D314" i="21" s="1"/>
  <c r="F314" i="21" s="1"/>
  <c r="E55" i="21"/>
  <c r="D55" i="21" s="1"/>
  <c r="F55" i="21" s="1"/>
  <c r="F199" i="21"/>
  <c r="E199" i="21"/>
  <c r="C199" i="21" s="1"/>
  <c r="P319" i="21"/>
  <c r="O319" i="21"/>
  <c r="M319" i="21" s="1"/>
  <c r="D59" i="35" l="1"/>
  <c r="E59" i="35" s="1"/>
  <c r="F59" i="35" s="1"/>
  <c r="J60" i="34"/>
  <c r="K60" i="34"/>
  <c r="F152" i="34"/>
  <c r="G152" i="34" s="1"/>
  <c r="D60" i="34"/>
  <c r="E60" i="34"/>
  <c r="E62" i="31"/>
  <c r="F62" i="31" s="1"/>
  <c r="J22" i="31"/>
  <c r="J23" i="31" s="1"/>
  <c r="J25" i="31" s="1"/>
  <c r="F490" i="21"/>
  <c r="E490" i="21"/>
  <c r="D490" i="21" s="1"/>
  <c r="E56" i="21"/>
  <c r="D56" i="21" s="1"/>
  <c r="F56" i="21" s="1"/>
  <c r="F315" i="21"/>
  <c r="E315" i="21"/>
  <c r="D315" i="21" s="1"/>
  <c r="F200" i="21"/>
  <c r="E200" i="21"/>
  <c r="C200" i="21" s="1"/>
  <c r="P320" i="21"/>
  <c r="O320" i="21"/>
  <c r="M320" i="21" s="1"/>
  <c r="D60" i="35" l="1"/>
  <c r="E60" i="35" s="1"/>
  <c r="F60" i="35" s="1"/>
  <c r="F153" i="34"/>
  <c r="G153" i="34"/>
  <c r="D61" i="34"/>
  <c r="E61" i="34"/>
  <c r="J61" i="34"/>
  <c r="K61" i="34"/>
  <c r="E57" i="21"/>
  <c r="D57" i="21" s="1"/>
  <c r="F57" i="21" s="1"/>
  <c r="F201" i="21"/>
  <c r="E201" i="21"/>
  <c r="C201" i="21" s="1"/>
  <c r="P321" i="21"/>
  <c r="O321" i="21"/>
  <c r="M321" i="21" s="1"/>
  <c r="E316" i="21"/>
  <c r="D316" i="21" s="1"/>
  <c r="F316" i="21" s="1"/>
  <c r="E491" i="21"/>
  <c r="D491" i="21" s="1"/>
  <c r="F491" i="21" s="1"/>
  <c r="D61" i="35" l="1"/>
  <c r="E61" i="35" s="1"/>
  <c r="F61" i="35" s="1"/>
  <c r="D62" i="34"/>
  <c r="E62" i="34" s="1"/>
  <c r="J62" i="34"/>
  <c r="K62" i="34" s="1"/>
  <c r="F154" i="34"/>
  <c r="G154" i="34" s="1"/>
  <c r="E492" i="21"/>
  <c r="D492" i="21" s="1"/>
  <c r="F492" i="21" s="1"/>
  <c r="E317" i="21"/>
  <c r="D317" i="21" s="1"/>
  <c r="F317" i="21" s="1"/>
  <c r="E58" i="21"/>
  <c r="D58" i="21" s="1"/>
  <c r="F58" i="21" s="1"/>
  <c r="E202" i="21"/>
  <c r="C202" i="21" s="1"/>
  <c r="F202" i="21"/>
  <c r="P322" i="21"/>
  <c r="O322" i="21"/>
  <c r="M322" i="21" s="1"/>
  <c r="D62" i="35" l="1"/>
  <c r="E62" i="35" s="1"/>
  <c r="F62" i="35" s="1"/>
  <c r="F155" i="34"/>
  <c r="G155" i="34" s="1"/>
  <c r="J63" i="34"/>
  <c r="K63" i="34"/>
  <c r="D63" i="34"/>
  <c r="E63" i="34" s="1"/>
  <c r="E59" i="21"/>
  <c r="D59" i="21" s="1"/>
  <c r="F59" i="21" s="1"/>
  <c r="E318" i="21"/>
  <c r="D318" i="21" s="1"/>
  <c r="F318" i="21" s="1"/>
  <c r="E493" i="21"/>
  <c r="D493" i="21" s="1"/>
  <c r="F493" i="21" s="1"/>
  <c r="F203" i="21"/>
  <c r="E203" i="21"/>
  <c r="C203" i="21" s="1"/>
  <c r="P323" i="21"/>
  <c r="O323" i="21"/>
  <c r="M323" i="21" s="1"/>
  <c r="D63" i="35" l="1"/>
  <c r="E63" i="35" s="1"/>
  <c r="F63" i="35" s="1"/>
  <c r="D64" i="34"/>
  <c r="E64" i="34"/>
  <c r="F156" i="34"/>
  <c r="G156" i="34"/>
  <c r="J64" i="34"/>
  <c r="K64" i="34"/>
  <c r="E494" i="21"/>
  <c r="D494" i="21" s="1"/>
  <c r="F494" i="21" s="1"/>
  <c r="E319" i="21"/>
  <c r="D319" i="21" s="1"/>
  <c r="F319" i="21" s="1"/>
  <c r="E60" i="21"/>
  <c r="D60" i="21" s="1"/>
  <c r="F60" i="21" s="1"/>
  <c r="F204" i="21"/>
  <c r="E204" i="21"/>
  <c r="C204" i="21" s="1"/>
  <c r="P324" i="21"/>
  <c r="O324" i="21"/>
  <c r="M324" i="21" s="1"/>
  <c r="D64" i="35" l="1"/>
  <c r="E64" i="35" s="1"/>
  <c r="F64" i="35" s="1"/>
  <c r="J65" i="34"/>
  <c r="K65" i="34"/>
  <c r="F157" i="34"/>
  <c r="G157" i="34"/>
  <c r="D65" i="34"/>
  <c r="E65" i="34"/>
  <c r="E61" i="21"/>
  <c r="D61" i="21" s="1"/>
  <c r="F61" i="21" s="1"/>
  <c r="E320" i="21"/>
  <c r="D320" i="21" s="1"/>
  <c r="F320" i="21" s="1"/>
  <c r="E495" i="21"/>
  <c r="D495" i="21" s="1"/>
  <c r="F495" i="21" s="1"/>
  <c r="F205" i="21"/>
  <c r="E205" i="21"/>
  <c r="C205" i="21" s="1"/>
  <c r="P325" i="21"/>
  <c r="O325" i="21"/>
  <c r="M325" i="21" s="1"/>
  <c r="D65" i="35" l="1"/>
  <c r="E65" i="35" s="1"/>
  <c r="F65" i="35" s="1"/>
  <c r="D66" i="34"/>
  <c r="E66" i="34"/>
  <c r="F158" i="34"/>
  <c r="G158" i="34" s="1"/>
  <c r="J66" i="34"/>
  <c r="K66" i="34"/>
  <c r="E496" i="21"/>
  <c r="D496" i="21" s="1"/>
  <c r="F496" i="21" s="1"/>
  <c r="E321" i="21"/>
  <c r="D321" i="21" s="1"/>
  <c r="F321" i="21" s="1"/>
  <c r="E62" i="21"/>
  <c r="D62" i="21" s="1"/>
  <c r="F62" i="21" s="1"/>
  <c r="E206" i="21"/>
  <c r="C206" i="21" s="1"/>
  <c r="F206" i="21"/>
  <c r="P326" i="21"/>
  <c r="O326" i="21"/>
  <c r="M326" i="21" s="1"/>
  <c r="D66" i="35" l="1"/>
  <c r="E66" i="35" s="1"/>
  <c r="F66" i="35" s="1"/>
  <c r="F159" i="34"/>
  <c r="G159" i="34"/>
  <c r="D67" i="34"/>
  <c r="E67" i="34" s="1"/>
  <c r="J67" i="34"/>
  <c r="K67" i="34"/>
  <c r="E63" i="21"/>
  <c r="D63" i="21" s="1"/>
  <c r="F63" i="21" s="1"/>
  <c r="E322" i="21"/>
  <c r="D322" i="21" s="1"/>
  <c r="F322" i="21" s="1"/>
  <c r="E497" i="21"/>
  <c r="D497" i="21" s="1"/>
  <c r="F497" i="21" s="1"/>
  <c r="F207" i="21"/>
  <c r="E207" i="21"/>
  <c r="C207" i="21" s="1"/>
  <c r="P327" i="21"/>
  <c r="O327" i="21"/>
  <c r="M327" i="21" s="1"/>
  <c r="D67" i="35" l="1"/>
  <c r="E67" i="35" s="1"/>
  <c r="F67" i="35" s="1"/>
  <c r="D68" i="34"/>
  <c r="E68" i="34" s="1"/>
  <c r="J68" i="34"/>
  <c r="K68" i="34" s="1"/>
  <c r="G160" i="34"/>
  <c r="F160" i="34"/>
  <c r="E498" i="21"/>
  <c r="D498" i="21" s="1"/>
  <c r="F498" i="21" s="1"/>
  <c r="E323" i="21"/>
  <c r="D323" i="21" s="1"/>
  <c r="F323" i="21" s="1"/>
  <c r="E64" i="21"/>
  <c r="D64" i="21" s="1"/>
  <c r="F64" i="21" s="1"/>
  <c r="P328" i="21"/>
  <c r="O328" i="21"/>
  <c r="M328" i="21" s="1"/>
  <c r="F208" i="21"/>
  <c r="E208" i="21"/>
  <c r="C208" i="21" s="1"/>
  <c r="D68" i="35" l="1"/>
  <c r="E68" i="35" s="1"/>
  <c r="F68" i="35" s="1"/>
  <c r="J69" i="34"/>
  <c r="K69" i="34"/>
  <c r="D69" i="34"/>
  <c r="E69" i="34" s="1"/>
  <c r="F161" i="34"/>
  <c r="G161" i="34"/>
  <c r="F65" i="21"/>
  <c r="E65" i="21"/>
  <c r="D65" i="21" s="1"/>
  <c r="E324" i="21"/>
  <c r="D324" i="21" s="1"/>
  <c r="F324" i="21" s="1"/>
  <c r="F499" i="21"/>
  <c r="E499" i="21"/>
  <c r="D499" i="21" s="1"/>
  <c r="F209" i="21"/>
  <c r="E209" i="21"/>
  <c r="C209" i="21" s="1"/>
  <c r="P329" i="21"/>
  <c r="O329" i="21"/>
  <c r="M329" i="21" s="1"/>
  <c r="D69" i="35" l="1"/>
  <c r="E69" i="35" s="1"/>
  <c r="F69" i="35" s="1"/>
  <c r="D70" i="34"/>
  <c r="E70" i="34"/>
  <c r="J70" i="34"/>
  <c r="K70" i="34" s="1"/>
  <c r="F162" i="34"/>
  <c r="G162" i="34" s="1"/>
  <c r="E325" i="21"/>
  <c r="D325" i="21" s="1"/>
  <c r="F325" i="21" s="1"/>
  <c r="E210" i="21"/>
  <c r="C210" i="21" s="1"/>
  <c r="F210" i="21"/>
  <c r="P330" i="21"/>
  <c r="O330" i="21"/>
  <c r="M330" i="21" s="1"/>
  <c r="E500" i="21"/>
  <c r="D500" i="21" s="1"/>
  <c r="F500" i="21" s="1"/>
  <c r="E66" i="21"/>
  <c r="D66" i="21" s="1"/>
  <c r="F66" i="21" s="1"/>
  <c r="D70" i="35" l="1"/>
  <c r="E70" i="35" s="1"/>
  <c r="F70" i="35" s="1"/>
  <c r="F163" i="34"/>
  <c r="G163" i="34"/>
  <c r="J71" i="34"/>
  <c r="K71" i="34"/>
  <c r="D71" i="34"/>
  <c r="E71" i="34"/>
  <c r="E501" i="21"/>
  <c r="D501" i="21" s="1"/>
  <c r="F501" i="21" s="1"/>
  <c r="E67" i="21"/>
  <c r="D67" i="21" s="1"/>
  <c r="F67" i="21" s="1"/>
  <c r="E326" i="21"/>
  <c r="D326" i="21" s="1"/>
  <c r="F326" i="21" s="1"/>
  <c r="F211" i="21"/>
  <c r="E211" i="21"/>
  <c r="C211" i="21" s="1"/>
  <c r="P331" i="21"/>
  <c r="O331" i="21"/>
  <c r="M331" i="21" s="1"/>
  <c r="D71" i="35" l="1"/>
  <c r="E71" i="35" s="1"/>
  <c r="F71" i="35" s="1"/>
  <c r="J72" i="34"/>
  <c r="K72" i="34"/>
  <c r="D72" i="34"/>
  <c r="E72" i="34" s="1"/>
  <c r="F164" i="34"/>
  <c r="G164" i="34" s="1"/>
  <c r="E327" i="21"/>
  <c r="D327" i="21" s="1"/>
  <c r="F327" i="21" s="1"/>
  <c r="E68" i="21"/>
  <c r="D68" i="21" s="1"/>
  <c r="F68" i="21" s="1"/>
  <c r="E502" i="21"/>
  <c r="D502" i="21" s="1"/>
  <c r="F502" i="21" s="1"/>
  <c r="F212" i="21"/>
  <c r="E212" i="21"/>
  <c r="C212" i="21" s="1"/>
  <c r="P332" i="21"/>
  <c r="O332" i="21"/>
  <c r="M332" i="21" s="1"/>
  <c r="D72" i="35" l="1"/>
  <c r="E72" i="35" s="1"/>
  <c r="F72" i="35" s="1"/>
  <c r="F165" i="34"/>
  <c r="G165" i="34"/>
  <c r="D73" i="34"/>
  <c r="E73" i="34"/>
  <c r="J73" i="34"/>
  <c r="K73" i="34"/>
  <c r="E503" i="21"/>
  <c r="D503" i="21" s="1"/>
  <c r="F503" i="21" s="1"/>
  <c r="E69" i="21"/>
  <c r="D69" i="21" s="1"/>
  <c r="F69" i="21" s="1"/>
  <c r="E328" i="21"/>
  <c r="D328" i="21" s="1"/>
  <c r="F328" i="21" s="1"/>
  <c r="F213" i="21"/>
  <c r="E213" i="21"/>
  <c r="C213" i="21" s="1"/>
  <c r="P333" i="21"/>
  <c r="O333" i="21"/>
  <c r="M333" i="21" s="1"/>
  <c r="F73" i="35" l="1"/>
  <c r="D73" i="35"/>
  <c r="E73" i="35" s="1"/>
  <c r="D74" i="34"/>
  <c r="E74" i="34" s="1"/>
  <c r="J74" i="34"/>
  <c r="K74" i="34"/>
  <c r="G166" i="34"/>
  <c r="F166" i="34"/>
  <c r="E329" i="21"/>
  <c r="D329" i="21" s="1"/>
  <c r="F329" i="21" s="1"/>
  <c r="E70" i="21"/>
  <c r="D70" i="21" s="1"/>
  <c r="F70" i="21" s="1"/>
  <c r="E504" i="21"/>
  <c r="D504" i="21" s="1"/>
  <c r="F504" i="21" s="1"/>
  <c r="E214" i="21"/>
  <c r="C214" i="21" s="1"/>
  <c r="F214" i="21"/>
  <c r="P334" i="21"/>
  <c r="O334" i="21"/>
  <c r="M334" i="21" s="1"/>
  <c r="D74" i="35" l="1"/>
  <c r="E74" i="35" s="1"/>
  <c r="F74" i="35" s="1"/>
  <c r="D75" i="34"/>
  <c r="E75" i="34"/>
  <c r="J75" i="34"/>
  <c r="K75" i="34"/>
  <c r="F167" i="34"/>
  <c r="G167" i="34"/>
  <c r="E505" i="21"/>
  <c r="D505" i="21" s="1"/>
  <c r="F505" i="21" s="1"/>
  <c r="E71" i="21"/>
  <c r="D71" i="21" s="1"/>
  <c r="F71" i="21" s="1"/>
  <c r="E330" i="21"/>
  <c r="D330" i="21" s="1"/>
  <c r="F330" i="21" s="1"/>
  <c r="F215" i="21"/>
  <c r="E215" i="21"/>
  <c r="C215" i="21" s="1"/>
  <c r="P335" i="21"/>
  <c r="O335" i="21"/>
  <c r="M335" i="21" s="1"/>
  <c r="F75" i="35" l="1"/>
  <c r="D75" i="35"/>
  <c r="E75" i="35" s="1"/>
  <c r="F168" i="34"/>
  <c r="G168" i="34"/>
  <c r="D76" i="34"/>
  <c r="E76" i="34" s="1"/>
  <c r="J76" i="34"/>
  <c r="K76" i="34"/>
  <c r="E331" i="21"/>
  <c r="D331" i="21" s="1"/>
  <c r="F331" i="21" s="1"/>
  <c r="E72" i="21"/>
  <c r="D72" i="21" s="1"/>
  <c r="F72" i="21" s="1"/>
  <c r="E506" i="21"/>
  <c r="D506" i="21" s="1"/>
  <c r="F506" i="21" s="1"/>
  <c r="F216" i="21"/>
  <c r="E216" i="21"/>
  <c r="C216" i="21" s="1"/>
  <c r="P336" i="21"/>
  <c r="O336" i="21"/>
  <c r="M336" i="21" s="1"/>
  <c r="D76" i="35" l="1"/>
  <c r="E76" i="35" s="1"/>
  <c r="F76" i="35" s="1"/>
  <c r="D77" i="34"/>
  <c r="E77" i="34" s="1"/>
  <c r="F169" i="34"/>
  <c r="G169" i="34"/>
  <c r="J77" i="34"/>
  <c r="K77" i="34" s="1"/>
  <c r="E507" i="21"/>
  <c r="D507" i="21" s="1"/>
  <c r="F507" i="21" s="1"/>
  <c r="F73" i="21"/>
  <c r="E73" i="21"/>
  <c r="D73" i="21" s="1"/>
  <c r="E332" i="21"/>
  <c r="D332" i="21" s="1"/>
  <c r="F332" i="21" s="1"/>
  <c r="E217" i="21"/>
  <c r="C217" i="21" s="1"/>
  <c r="F217" i="21"/>
  <c r="P337" i="21"/>
  <c r="O337" i="21"/>
  <c r="M337" i="21" s="1"/>
  <c r="D77" i="35" l="1"/>
  <c r="E77" i="35" s="1"/>
  <c r="F77" i="35" s="1"/>
  <c r="J78" i="34"/>
  <c r="K78" i="34"/>
  <c r="D78" i="34"/>
  <c r="E78" i="34" s="1"/>
  <c r="F170" i="34"/>
  <c r="G170" i="34" s="1"/>
  <c r="E508" i="21"/>
  <c r="D508" i="21" s="1"/>
  <c r="F508" i="21" s="1"/>
  <c r="F333" i="21"/>
  <c r="E333" i="21"/>
  <c r="D333" i="21" s="1"/>
  <c r="E74" i="21"/>
  <c r="D74" i="21" s="1"/>
  <c r="F74" i="21" s="1"/>
  <c r="P338" i="21"/>
  <c r="O338" i="21"/>
  <c r="M338" i="21" s="1"/>
  <c r="E218" i="21"/>
  <c r="C218" i="21" s="1"/>
  <c r="F218" i="21"/>
  <c r="F78" i="35" l="1"/>
  <c r="D78" i="35"/>
  <c r="E78" i="35" s="1"/>
  <c r="F171" i="34"/>
  <c r="G171" i="34"/>
  <c r="E509" i="21"/>
  <c r="D509" i="21" s="1"/>
  <c r="F509" i="21" s="1"/>
  <c r="F75" i="21"/>
  <c r="E75" i="21"/>
  <c r="D75" i="21" s="1"/>
  <c r="P339" i="21"/>
  <c r="O339" i="21"/>
  <c r="M339" i="21" s="1"/>
  <c r="F334" i="21"/>
  <c r="E334" i="21"/>
  <c r="D334" i="21" s="1"/>
  <c r="E219" i="21"/>
  <c r="C219" i="21" s="1"/>
  <c r="F219" i="21"/>
  <c r="F79" i="35" l="1"/>
  <c r="D79" i="35"/>
  <c r="E79" i="35" s="1"/>
  <c r="E510" i="21"/>
  <c r="D510" i="21" s="1"/>
  <c r="F510" i="21" s="1"/>
  <c r="E335" i="21"/>
  <c r="D335" i="21" s="1"/>
  <c r="F335" i="21" s="1"/>
  <c r="E76" i="21"/>
  <c r="D76" i="21" s="1"/>
  <c r="F76" i="21" s="1"/>
  <c r="E220" i="21"/>
  <c r="C220" i="21" s="1"/>
  <c r="F220" i="21"/>
  <c r="P340" i="21"/>
  <c r="O340" i="21"/>
  <c r="M340" i="21" s="1"/>
  <c r="D80" i="35" l="1"/>
  <c r="E80" i="35" s="1"/>
  <c r="F80" i="35" s="1"/>
  <c r="E77" i="21"/>
  <c r="D77" i="21" s="1"/>
  <c r="F77" i="21" s="1"/>
  <c r="E336" i="21"/>
  <c r="D336" i="21" s="1"/>
  <c r="F336" i="21" s="1"/>
  <c r="E511" i="21"/>
  <c r="D511" i="21" s="1"/>
  <c r="F511" i="21" s="1"/>
  <c r="E221" i="21"/>
  <c r="C221" i="21" s="1"/>
  <c r="F221" i="21"/>
  <c r="P341" i="21"/>
  <c r="O341" i="21"/>
  <c r="M341" i="21" s="1"/>
  <c r="F81" i="35" l="1"/>
  <c r="D81" i="35"/>
  <c r="E81" i="35" s="1"/>
  <c r="E512" i="21"/>
  <c r="D512" i="21" s="1"/>
  <c r="F512" i="21" s="1"/>
  <c r="E337" i="21"/>
  <c r="D337" i="21" s="1"/>
  <c r="F337" i="21" s="1"/>
  <c r="E78" i="21"/>
  <c r="D78" i="21" s="1"/>
  <c r="F78" i="21" s="1"/>
  <c r="E222" i="21"/>
  <c r="C222" i="21" s="1"/>
  <c r="F222" i="21"/>
  <c r="P342" i="21"/>
  <c r="O342" i="21"/>
  <c r="M342" i="21" s="1"/>
  <c r="D82" i="35" l="1"/>
  <c r="E82" i="35" s="1"/>
  <c r="F82" i="35" s="1"/>
  <c r="E79" i="21"/>
  <c r="D79" i="21" s="1"/>
  <c r="F79" i="21" s="1"/>
  <c r="E338" i="21"/>
  <c r="D338" i="21" s="1"/>
  <c r="F338" i="21" s="1"/>
  <c r="E513" i="21"/>
  <c r="D513" i="21" s="1"/>
  <c r="F513" i="21" s="1"/>
  <c r="E223" i="21"/>
  <c r="C223" i="21" s="1"/>
  <c r="F223" i="21"/>
  <c r="P343" i="21"/>
  <c r="O343" i="21"/>
  <c r="M343" i="21" s="1"/>
  <c r="D83" i="35" l="1"/>
  <c r="E83" i="35" s="1"/>
  <c r="F83" i="35" s="1"/>
  <c r="E514" i="21"/>
  <c r="D514" i="21" s="1"/>
  <c r="F514" i="21" s="1"/>
  <c r="F339" i="21"/>
  <c r="E339" i="21"/>
  <c r="D339" i="21" s="1"/>
  <c r="E80" i="21"/>
  <c r="D80" i="21" s="1"/>
  <c r="F80" i="21" s="1"/>
  <c r="E224" i="21"/>
  <c r="C224" i="21" s="1"/>
  <c r="F224" i="21"/>
  <c r="P344" i="21"/>
  <c r="O344" i="21"/>
  <c r="M344" i="21" s="1"/>
  <c r="D84" i="35" l="1"/>
  <c r="E84" i="35" s="1"/>
  <c r="F84" i="35" s="1"/>
  <c r="E515" i="21"/>
  <c r="D515" i="21" s="1"/>
  <c r="F515" i="21" s="1"/>
  <c r="F81" i="21"/>
  <c r="E81" i="21"/>
  <c r="D81" i="21" s="1"/>
  <c r="E340" i="21"/>
  <c r="D340" i="21" s="1"/>
  <c r="F340" i="21" s="1"/>
  <c r="P345" i="21"/>
  <c r="O345" i="21"/>
  <c r="M345" i="21" s="1"/>
  <c r="E225" i="21"/>
  <c r="C225" i="21" s="1"/>
  <c r="F225" i="21"/>
  <c r="D85" i="35" l="1"/>
  <c r="E85" i="35" s="1"/>
  <c r="F85" i="35" s="1"/>
  <c r="E516" i="21"/>
  <c r="D516" i="21" s="1"/>
  <c r="F516" i="21" s="1"/>
  <c r="F341" i="21"/>
  <c r="E341" i="21"/>
  <c r="D341" i="21" s="1"/>
  <c r="P346" i="21"/>
  <c r="O346" i="21"/>
  <c r="M346" i="21" s="1"/>
  <c r="F82" i="21"/>
  <c r="E82" i="21"/>
  <c r="D82" i="21" s="1"/>
  <c r="E226" i="21"/>
  <c r="C226" i="21" s="1"/>
  <c r="F226" i="21"/>
  <c r="E517" i="21" l="1"/>
  <c r="D517" i="21" s="1"/>
  <c r="F517" i="21" s="1"/>
  <c r="F83" i="21"/>
  <c r="E83" i="21"/>
  <c r="D83" i="21" s="1"/>
  <c r="E342" i="21"/>
  <c r="D342" i="21" s="1"/>
  <c r="F342" i="21" s="1"/>
  <c r="F227" i="21"/>
  <c r="E227" i="21"/>
  <c r="C227" i="21" s="1"/>
  <c r="P347" i="21"/>
  <c r="O347" i="21"/>
  <c r="M347" i="21" s="1"/>
  <c r="E518" i="21" l="1"/>
  <c r="D518" i="21" s="1"/>
  <c r="F518" i="21" s="1"/>
  <c r="F343" i="21"/>
  <c r="E343" i="21"/>
  <c r="D343" i="21" s="1"/>
  <c r="F228" i="21"/>
  <c r="E228" i="21"/>
  <c r="C228" i="21" s="1"/>
  <c r="F84" i="21"/>
  <c r="E84" i="21"/>
  <c r="D84" i="21" s="1"/>
  <c r="P348" i="21"/>
  <c r="O348" i="21"/>
  <c r="M348" i="21" s="1"/>
  <c r="E519" i="21" l="1"/>
  <c r="D519" i="21" s="1"/>
  <c r="F519" i="21" s="1"/>
  <c r="F85" i="21"/>
  <c r="E85" i="21"/>
  <c r="D85" i="21" s="1"/>
  <c r="E344" i="21"/>
  <c r="D344" i="21" s="1"/>
  <c r="F344" i="21" s="1"/>
  <c r="P349" i="21"/>
  <c r="O349" i="21"/>
  <c r="M349" i="21" s="1"/>
  <c r="F229" i="21"/>
  <c r="E229" i="21"/>
  <c r="C229" i="21" s="1"/>
  <c r="E520" i="21" l="1"/>
  <c r="D520" i="21" s="1"/>
  <c r="F520" i="21" s="1"/>
  <c r="F345" i="21"/>
  <c r="E345" i="21"/>
  <c r="D345" i="21" s="1"/>
  <c r="P350" i="21"/>
  <c r="O350" i="21"/>
  <c r="M350" i="21" s="1"/>
  <c r="F86" i="21"/>
  <c r="E86" i="21"/>
  <c r="D86" i="21" s="1"/>
  <c r="F230" i="21"/>
  <c r="E230" i="21"/>
  <c r="C230" i="21" s="1"/>
  <c r="E521" i="21" l="1"/>
  <c r="D521" i="21" s="1"/>
  <c r="F521" i="21" s="1"/>
  <c r="E87" i="21"/>
  <c r="D87" i="21" s="1"/>
  <c r="F87" i="21" s="1"/>
  <c r="E346" i="21"/>
  <c r="D346" i="21" s="1"/>
  <c r="F346" i="21" s="1"/>
  <c r="F231" i="21"/>
  <c r="E231" i="21"/>
  <c r="C231" i="21" s="1"/>
  <c r="P351" i="21"/>
  <c r="O351" i="21"/>
  <c r="M351" i="21" s="1"/>
  <c r="E522" i="21" l="1"/>
  <c r="D522" i="21" s="1"/>
  <c r="F522" i="21" s="1"/>
  <c r="F347" i="21"/>
  <c r="E347" i="21"/>
  <c r="D347" i="21" s="1"/>
  <c r="E88" i="21"/>
  <c r="D88" i="21" s="1"/>
  <c r="F88" i="21" s="1"/>
  <c r="F232" i="21"/>
  <c r="E232" i="21"/>
  <c r="C232" i="21" s="1"/>
  <c r="P352" i="21"/>
  <c r="O352" i="21"/>
  <c r="M352" i="21" s="1"/>
  <c r="E523" i="21" l="1"/>
  <c r="D523" i="21" s="1"/>
  <c r="F523" i="21" s="1"/>
  <c r="F89" i="21"/>
  <c r="E89" i="21"/>
  <c r="D89" i="21" s="1"/>
  <c r="F233" i="21"/>
  <c r="E233" i="21"/>
  <c r="C233" i="21" s="1"/>
  <c r="F348" i="21"/>
  <c r="E348" i="21"/>
  <c r="D348" i="21" s="1"/>
  <c r="P353" i="21"/>
  <c r="O353" i="21"/>
  <c r="M353" i="21" s="1"/>
  <c r="E524" i="21" l="1"/>
  <c r="D524" i="21" s="1"/>
  <c r="F524" i="21" s="1"/>
  <c r="F349" i="21"/>
  <c r="E349" i="21"/>
  <c r="D349" i="21" s="1"/>
  <c r="E90" i="21"/>
  <c r="D90" i="21" s="1"/>
  <c r="F90" i="21" s="1"/>
  <c r="P354" i="21"/>
  <c r="O354" i="21"/>
  <c r="M354" i="21" s="1"/>
  <c r="F234" i="21"/>
  <c r="E234" i="21"/>
  <c r="C234" i="21" s="1"/>
  <c r="E525" i="21" l="1"/>
  <c r="D525" i="21" s="1"/>
  <c r="F525" i="21" s="1"/>
  <c r="F91" i="21"/>
  <c r="E91" i="21"/>
  <c r="D91" i="21" s="1"/>
  <c r="P355" i="21"/>
  <c r="O355" i="21"/>
  <c r="M355" i="21" s="1"/>
  <c r="F350" i="21"/>
  <c r="E350" i="21"/>
  <c r="D350" i="21" s="1"/>
  <c r="F235" i="21"/>
  <c r="E235" i="21"/>
  <c r="C235" i="21" s="1"/>
  <c r="E526" i="21" l="1"/>
  <c r="D526" i="21" s="1"/>
  <c r="F526" i="21" s="1"/>
  <c r="E351" i="21"/>
  <c r="D351" i="21" s="1"/>
  <c r="F351" i="21" s="1"/>
  <c r="E92" i="21"/>
  <c r="D92" i="21" s="1"/>
  <c r="F92" i="21" s="1"/>
  <c r="F236" i="21"/>
  <c r="E236" i="21"/>
  <c r="C236" i="21" s="1"/>
  <c r="P356" i="21"/>
  <c r="O356" i="21"/>
  <c r="M356" i="21" s="1"/>
  <c r="E93" i="21" l="1"/>
  <c r="D93" i="21" s="1"/>
  <c r="F93" i="21" s="1"/>
  <c r="E352" i="21"/>
  <c r="D352" i="21" s="1"/>
  <c r="F352" i="21" s="1"/>
  <c r="E527" i="21"/>
  <c r="D527" i="21" s="1"/>
  <c r="F527" i="21" s="1"/>
  <c r="F237" i="21"/>
  <c r="E237" i="21"/>
  <c r="C237" i="21" s="1"/>
  <c r="P357" i="21"/>
  <c r="O357" i="21"/>
  <c r="M357" i="21" s="1"/>
  <c r="E528" i="21" l="1"/>
  <c r="D528" i="21" s="1"/>
  <c r="F528" i="21" s="1"/>
  <c r="E353" i="21"/>
  <c r="D353" i="21" s="1"/>
  <c r="F353" i="21" s="1"/>
  <c r="E94" i="21"/>
  <c r="D94" i="21" s="1"/>
  <c r="F94" i="21" s="1"/>
  <c r="P358" i="21"/>
  <c r="O358" i="21"/>
  <c r="M358" i="21" s="1"/>
  <c r="F238" i="21"/>
  <c r="E238" i="21"/>
  <c r="C238" i="21" s="1"/>
  <c r="E95" i="21" l="1"/>
  <c r="D95" i="21" s="1"/>
  <c r="F95" i="21" s="1"/>
  <c r="E354" i="21"/>
  <c r="D354" i="21" s="1"/>
  <c r="F354" i="21" s="1"/>
  <c r="E529" i="21"/>
  <c r="D529" i="21" s="1"/>
  <c r="F529" i="21" s="1"/>
  <c r="F239" i="21"/>
  <c r="E239" i="21"/>
  <c r="C239" i="21" s="1"/>
  <c r="P359" i="21"/>
  <c r="O359" i="21"/>
  <c r="M359" i="21" s="1"/>
  <c r="E530" i="21" l="1"/>
  <c r="D530" i="21" s="1"/>
  <c r="F530" i="21" s="1"/>
  <c r="E355" i="21"/>
  <c r="D355" i="21" s="1"/>
  <c r="F355" i="21" s="1"/>
  <c r="E96" i="21"/>
  <c r="D96" i="21" s="1"/>
  <c r="F96" i="21" s="1"/>
  <c r="P360" i="21"/>
  <c r="O360" i="21"/>
  <c r="M360" i="21" s="1"/>
  <c r="F240" i="21"/>
  <c r="E240" i="21"/>
  <c r="C240" i="21" s="1"/>
  <c r="E97" i="21" l="1"/>
  <c r="D97" i="21" s="1"/>
  <c r="F97" i="21" s="1"/>
  <c r="E356" i="21"/>
  <c r="D356" i="21" s="1"/>
  <c r="F356" i="21" s="1"/>
  <c r="E531" i="21"/>
  <c r="D531" i="21" s="1"/>
  <c r="F531" i="21" s="1"/>
  <c r="F241" i="21"/>
  <c r="E241" i="21"/>
  <c r="C241" i="21" s="1"/>
  <c r="P361" i="21"/>
  <c r="O361" i="21"/>
  <c r="M361" i="21" s="1"/>
  <c r="E532" i="21" l="1"/>
  <c r="D532" i="21" s="1"/>
  <c r="F532" i="21" s="1"/>
  <c r="E357" i="21"/>
  <c r="D357" i="21" s="1"/>
  <c r="F357" i="21" s="1"/>
  <c r="E98" i="21"/>
  <c r="D98" i="21" s="1"/>
  <c r="F98" i="21" s="1"/>
  <c r="F242" i="21"/>
  <c r="E242" i="21"/>
  <c r="C242" i="21" s="1"/>
  <c r="P362" i="21"/>
  <c r="O362" i="21"/>
  <c r="M362" i="21" s="1"/>
  <c r="F99" i="21" l="1"/>
  <c r="E99" i="21"/>
  <c r="D99" i="21" s="1"/>
  <c r="E358" i="21"/>
  <c r="D358" i="21" s="1"/>
  <c r="F358" i="21" s="1"/>
  <c r="F533" i="21"/>
  <c r="E533" i="21"/>
  <c r="D533" i="21" s="1"/>
  <c r="F243" i="21"/>
  <c r="E243" i="21"/>
  <c r="C243" i="21" s="1"/>
  <c r="P363" i="21"/>
  <c r="O363" i="21"/>
  <c r="M363" i="21" s="1"/>
  <c r="E359" i="21" l="1"/>
  <c r="D359" i="21" s="1"/>
  <c r="F359" i="21" s="1"/>
  <c r="F244" i="21"/>
  <c r="E244" i="21"/>
  <c r="C244" i="21" s="1"/>
  <c r="P364" i="21"/>
  <c r="O364" i="21"/>
  <c r="M364" i="21" s="1"/>
  <c r="E534" i="21"/>
  <c r="D534" i="21" s="1"/>
  <c r="F534" i="21" s="1"/>
  <c r="E100" i="21"/>
  <c r="D100" i="21" s="1"/>
  <c r="F100" i="21" s="1"/>
  <c r="E360" i="21" l="1"/>
  <c r="D360" i="21" s="1"/>
  <c r="F360" i="21" s="1"/>
  <c r="E101" i="21"/>
  <c r="D101" i="21" s="1"/>
  <c r="F101" i="21" s="1"/>
  <c r="E535" i="21"/>
  <c r="D535" i="21" s="1"/>
  <c r="F535" i="21" s="1"/>
  <c r="F245" i="21"/>
  <c r="E245" i="21"/>
  <c r="C245" i="21" s="1"/>
  <c r="P365" i="21"/>
  <c r="O365" i="21"/>
  <c r="M365" i="21" s="1"/>
  <c r="E536" i="21" l="1"/>
  <c r="D536" i="21" s="1"/>
  <c r="F536" i="21" s="1"/>
  <c r="E102" i="21"/>
  <c r="D102" i="21" s="1"/>
  <c r="F102" i="21" s="1"/>
  <c r="E361" i="21"/>
  <c r="D361" i="21" s="1"/>
  <c r="F361" i="21" s="1"/>
  <c r="F246" i="21"/>
  <c r="E246" i="21"/>
  <c r="C246" i="21" s="1"/>
  <c r="P366" i="21"/>
  <c r="O366" i="21"/>
  <c r="M366" i="21" s="1"/>
  <c r="E362" i="21" l="1"/>
  <c r="D362" i="21" s="1"/>
  <c r="F362" i="21" s="1"/>
  <c r="E103" i="21"/>
  <c r="D103" i="21" s="1"/>
  <c r="F103" i="21" s="1"/>
  <c r="E537" i="21"/>
  <c r="D537" i="21" s="1"/>
  <c r="F537" i="21" s="1"/>
  <c r="F247" i="21"/>
  <c r="E247" i="21"/>
  <c r="C247" i="21" s="1"/>
  <c r="P367" i="21"/>
  <c r="O367" i="21"/>
  <c r="M367" i="21" s="1"/>
  <c r="E538" i="21" l="1"/>
  <c r="D538" i="21" s="1"/>
  <c r="F538" i="21" s="1"/>
  <c r="E104" i="21"/>
  <c r="D104" i="21" s="1"/>
  <c r="F104" i="21" s="1"/>
  <c r="E363" i="21"/>
  <c r="D363" i="21" s="1"/>
  <c r="F363" i="21" s="1"/>
  <c r="F248" i="21"/>
  <c r="E248" i="21"/>
  <c r="C248" i="21" s="1"/>
  <c r="P368" i="21"/>
  <c r="O368" i="21"/>
  <c r="M368" i="21" s="1"/>
  <c r="E364" i="21" l="1"/>
  <c r="D364" i="21" s="1"/>
  <c r="F364" i="21" s="1"/>
  <c r="E105" i="21"/>
  <c r="D105" i="21" s="1"/>
  <c r="F105" i="21" s="1"/>
  <c r="E539" i="21"/>
  <c r="D539" i="21" s="1"/>
  <c r="F539" i="21" s="1"/>
  <c r="P369" i="21"/>
  <c r="O369" i="21"/>
  <c r="M369" i="21" s="1"/>
  <c r="F249" i="21"/>
  <c r="E249" i="21"/>
  <c r="C249" i="21" s="1"/>
  <c r="E540" i="21" l="1"/>
  <c r="D540" i="21" s="1"/>
  <c r="F540" i="21" s="1"/>
  <c r="E106" i="21"/>
  <c r="D106" i="21" s="1"/>
  <c r="F106" i="21" s="1"/>
  <c r="E365" i="21"/>
  <c r="D365" i="21" s="1"/>
  <c r="F365" i="21" s="1"/>
  <c r="F250" i="21"/>
  <c r="E250" i="21"/>
  <c r="C250" i="21" s="1"/>
  <c r="P370" i="21"/>
  <c r="O370" i="21"/>
  <c r="M370" i="21" s="1"/>
  <c r="E366" i="21" l="1"/>
  <c r="D366" i="21" s="1"/>
  <c r="F366" i="21" s="1"/>
  <c r="E107" i="21"/>
  <c r="D107" i="21" s="1"/>
  <c r="F107" i="21" s="1"/>
  <c r="E541" i="21"/>
  <c r="D541" i="21" s="1"/>
  <c r="F541" i="21" s="1"/>
  <c r="O371" i="21"/>
  <c r="M371" i="21" s="1"/>
  <c r="P371" i="21"/>
  <c r="F251" i="21"/>
  <c r="E251" i="21"/>
  <c r="C251" i="21" s="1"/>
  <c r="E542" i="21" l="1"/>
  <c r="D542" i="21" s="1"/>
  <c r="F542" i="21" s="1"/>
  <c r="E108" i="21"/>
  <c r="D108" i="21" s="1"/>
  <c r="F108" i="21" s="1"/>
  <c r="E367" i="21"/>
  <c r="D367" i="21" s="1"/>
  <c r="F367" i="21" s="1"/>
  <c r="F252" i="21"/>
  <c r="E252" i="21"/>
  <c r="C252" i="21" s="1"/>
  <c r="O372" i="21"/>
  <c r="M372" i="21" s="1"/>
  <c r="P372" i="21"/>
  <c r="E368" i="21" l="1"/>
  <c r="D368" i="21" s="1"/>
  <c r="F368" i="21" s="1"/>
  <c r="E109" i="21"/>
  <c r="D109" i="21" s="1"/>
  <c r="F109" i="21" s="1"/>
  <c r="E543" i="21"/>
  <c r="D543" i="21" s="1"/>
  <c r="F543" i="21" s="1"/>
  <c r="O373" i="21"/>
  <c r="M373" i="21" s="1"/>
  <c r="P373" i="21"/>
  <c r="F253" i="21"/>
  <c r="E253" i="21"/>
  <c r="C253" i="21" s="1"/>
  <c r="E544" i="21" l="1"/>
  <c r="D544" i="21" s="1"/>
  <c r="F544" i="21" s="1"/>
  <c r="E110" i="21"/>
  <c r="D110" i="21" s="1"/>
  <c r="F110" i="21" s="1"/>
  <c r="E369" i="21"/>
  <c r="D369" i="21" s="1"/>
  <c r="F369" i="21" s="1"/>
  <c r="F254" i="21"/>
  <c r="E254" i="21"/>
  <c r="C254" i="21" s="1"/>
  <c r="O374" i="21"/>
  <c r="M374" i="21" s="1"/>
  <c r="P374" i="21"/>
  <c r="E370" i="21" l="1"/>
  <c r="D370" i="21" s="1"/>
  <c r="F370" i="21" s="1"/>
  <c r="E111" i="21"/>
  <c r="D111" i="21" s="1"/>
  <c r="F111" i="21" s="1"/>
  <c r="E545" i="21"/>
  <c r="D545" i="21" s="1"/>
  <c r="F545" i="21" s="1"/>
  <c r="F255" i="21"/>
  <c r="E255" i="21"/>
  <c r="C255" i="21" s="1"/>
  <c r="O375" i="21"/>
  <c r="M375" i="21" s="1"/>
  <c r="P375" i="21"/>
  <c r="E546" i="21" l="1"/>
  <c r="D546" i="21" s="1"/>
  <c r="F546" i="21" s="1"/>
  <c r="E112" i="21"/>
  <c r="D112" i="21" s="1"/>
  <c r="F112" i="21" s="1"/>
  <c r="E371" i="21"/>
  <c r="D371" i="21" s="1"/>
  <c r="F371" i="21" s="1"/>
  <c r="F256" i="21"/>
  <c r="E256" i="21"/>
  <c r="C256" i="21" s="1"/>
  <c r="O376" i="21"/>
  <c r="M376" i="21" s="1"/>
  <c r="P376" i="21"/>
  <c r="E372" i="21" l="1"/>
  <c r="D372" i="21" s="1"/>
  <c r="F372" i="21"/>
  <c r="E113" i="21"/>
  <c r="D113" i="21" s="1"/>
  <c r="F113" i="21" s="1"/>
  <c r="E547" i="21"/>
  <c r="D547" i="21" s="1"/>
  <c r="F547" i="21" s="1"/>
  <c r="F257" i="21"/>
  <c r="E257" i="21"/>
  <c r="C257" i="21" s="1"/>
  <c r="O377" i="21"/>
  <c r="M377" i="21" s="1"/>
  <c r="P377" i="21"/>
  <c r="E548" i="21" l="1"/>
  <c r="D548" i="21" s="1"/>
  <c r="F548" i="21" s="1"/>
  <c r="E114" i="21"/>
  <c r="D114" i="21" s="1"/>
  <c r="F114" i="21" s="1"/>
  <c r="F258" i="21"/>
  <c r="E258" i="21"/>
  <c r="C258" i="21" s="1"/>
  <c r="O378" i="21"/>
  <c r="M378" i="21" s="1"/>
  <c r="P378" i="21"/>
  <c r="E373" i="21"/>
  <c r="D373" i="21" s="1"/>
  <c r="F373" i="21" s="1"/>
  <c r="E374" i="21" l="1"/>
  <c r="D374" i="21" s="1"/>
  <c r="F374" i="21"/>
  <c r="E115" i="21"/>
  <c r="D115" i="21" s="1"/>
  <c r="F115" i="21" s="1"/>
  <c r="E549" i="21"/>
  <c r="D549" i="21" s="1"/>
  <c r="F549" i="21" s="1"/>
  <c r="O379" i="21"/>
  <c r="M379" i="21" s="1"/>
  <c r="P379" i="21"/>
  <c r="F259" i="21"/>
  <c r="E259" i="21"/>
  <c r="C259" i="21" s="1"/>
  <c r="E116" i="21" l="1"/>
  <c r="D116" i="21" s="1"/>
  <c r="F116" i="21" s="1"/>
  <c r="E550" i="21"/>
  <c r="D550" i="21" s="1"/>
  <c r="F550" i="21" s="1"/>
  <c r="E375" i="21"/>
  <c r="D375" i="21" s="1"/>
  <c r="F375" i="21"/>
  <c r="O380" i="21"/>
  <c r="M380" i="21" s="1"/>
  <c r="P380" i="21"/>
  <c r="F260" i="21"/>
  <c r="E260" i="21"/>
  <c r="C260" i="21" s="1"/>
  <c r="E551" i="21" l="1"/>
  <c r="D551" i="21" s="1"/>
  <c r="F551" i="21" s="1"/>
  <c r="E117" i="21"/>
  <c r="D117" i="21" s="1"/>
  <c r="F117" i="21" s="1"/>
  <c r="O381" i="21"/>
  <c r="M381" i="21" s="1"/>
  <c r="P381" i="21"/>
  <c r="E376" i="21"/>
  <c r="D376" i="21" s="1"/>
  <c r="F376" i="21" s="1"/>
  <c r="F261" i="21"/>
  <c r="E261" i="21"/>
  <c r="C261" i="21" s="1"/>
  <c r="E118" i="21" l="1"/>
  <c r="D118" i="21" s="1"/>
  <c r="F118" i="21" s="1"/>
  <c r="E377" i="21"/>
  <c r="D377" i="21" s="1"/>
  <c r="F377" i="21"/>
  <c r="E552" i="21"/>
  <c r="D552" i="21" s="1"/>
  <c r="F552" i="21" s="1"/>
  <c r="O382" i="21"/>
  <c r="M382" i="21" s="1"/>
  <c r="P382" i="21"/>
  <c r="F262" i="21"/>
  <c r="E262" i="21"/>
  <c r="C262" i="21" s="1"/>
  <c r="E553" i="21" l="1"/>
  <c r="D553" i="21" s="1"/>
  <c r="F553" i="21" s="1"/>
  <c r="E119" i="21"/>
  <c r="D119" i="21" s="1"/>
  <c r="F119" i="21" s="1"/>
  <c r="E378" i="21"/>
  <c r="D378" i="21" s="1"/>
  <c r="F378" i="21"/>
  <c r="O383" i="21"/>
  <c r="M383" i="21" s="1"/>
  <c r="P383" i="21"/>
  <c r="F263" i="21"/>
  <c r="E263" i="21"/>
  <c r="C263" i="21" s="1"/>
  <c r="E554" i="21" l="1"/>
  <c r="D554" i="21" s="1"/>
  <c r="F554" i="21" s="1"/>
  <c r="E120" i="21"/>
  <c r="D120" i="21" s="1"/>
  <c r="F120" i="21" s="1"/>
  <c r="P384" i="21"/>
  <c r="O384" i="21"/>
  <c r="M384" i="21" s="1"/>
  <c r="E379" i="21"/>
  <c r="D379" i="21" s="1"/>
  <c r="F379" i="21" s="1"/>
  <c r="F264" i="21"/>
  <c r="E264" i="21"/>
  <c r="E121" i="21" l="1"/>
  <c r="D121" i="21" s="1"/>
  <c r="F121" i="21" s="1"/>
  <c r="E380" i="21"/>
  <c r="D380" i="21" s="1"/>
  <c r="F380" i="21" s="1"/>
  <c r="E555" i="21"/>
  <c r="D555" i="21" s="1"/>
  <c r="F555" i="21" s="1"/>
  <c r="C264" i="21"/>
  <c r="E265" i="21"/>
  <c r="F265" i="21" s="1"/>
  <c r="O385" i="21"/>
  <c r="M385" i="21" s="1"/>
  <c r="P385" i="21"/>
  <c r="E556" i="21" l="1"/>
  <c r="D556" i="21" s="1"/>
  <c r="F556" i="21" s="1"/>
  <c r="E381" i="21"/>
  <c r="D381" i="21" s="1"/>
  <c r="F381" i="21" s="1"/>
  <c r="E122" i="21"/>
  <c r="D122" i="21" s="1"/>
  <c r="F122" i="21" s="1"/>
  <c r="P386" i="21"/>
  <c r="O386" i="21"/>
  <c r="M386" i="21" s="1"/>
  <c r="E123" i="21" l="1"/>
  <c r="D123" i="21" s="1"/>
  <c r="F123" i="21" s="1"/>
  <c r="E382" i="21"/>
  <c r="D382" i="21" s="1"/>
  <c r="F382" i="21" s="1"/>
  <c r="E557" i="21"/>
  <c r="D557" i="21" s="1"/>
  <c r="F557" i="21" s="1"/>
  <c r="O387" i="21"/>
  <c r="M387" i="21" s="1"/>
  <c r="P387" i="21"/>
  <c r="E558" i="21" l="1"/>
  <c r="D558" i="21" s="1"/>
  <c r="F558" i="21" s="1"/>
  <c r="E383" i="21"/>
  <c r="D383" i="21" s="1"/>
  <c r="F383" i="21"/>
  <c r="E124" i="21"/>
  <c r="D124" i="21" s="1"/>
  <c r="F124" i="21" s="1"/>
  <c r="P388" i="21"/>
  <c r="O388" i="21"/>
  <c r="M388" i="21" s="1"/>
  <c r="E125" i="21" l="1"/>
  <c r="D125" i="21" s="1"/>
  <c r="F125" i="21" s="1"/>
  <c r="E559" i="21"/>
  <c r="D559" i="21" s="1"/>
  <c r="F559" i="21" s="1"/>
  <c r="E384" i="21"/>
  <c r="D384" i="21" s="1"/>
  <c r="F384" i="21" s="1"/>
  <c r="P389" i="21"/>
  <c r="O389" i="21"/>
  <c r="M389" i="21" s="1"/>
  <c r="E560" i="21" l="1"/>
  <c r="D560" i="21" s="1"/>
  <c r="F560" i="21" s="1"/>
  <c r="E385" i="21"/>
  <c r="D385" i="21" s="1"/>
  <c r="F385" i="21"/>
  <c r="E126" i="21"/>
  <c r="D126" i="21" s="1"/>
  <c r="F126" i="21" s="1"/>
  <c r="P390" i="21"/>
  <c r="O390" i="21"/>
  <c r="M390" i="21" s="1"/>
  <c r="E127" i="21" l="1"/>
  <c r="D127" i="21" s="1"/>
  <c r="F127" i="21" s="1"/>
  <c r="E561" i="21"/>
  <c r="D561" i="21" s="1"/>
  <c r="F561" i="21" s="1"/>
  <c r="E386" i="21"/>
  <c r="D386" i="21" s="1"/>
  <c r="F386" i="21" s="1"/>
  <c r="P391" i="21"/>
  <c r="O391" i="21"/>
  <c r="M391" i="21" s="1"/>
  <c r="E387" i="21" l="1"/>
  <c r="D387" i="21" s="1"/>
  <c r="F387" i="21"/>
  <c r="E562" i="21"/>
  <c r="D562" i="21" s="1"/>
  <c r="F562" i="21" s="1"/>
  <c r="E128" i="21"/>
  <c r="D128" i="21" s="1"/>
  <c r="F128" i="21" s="1"/>
  <c r="P392" i="21"/>
  <c r="O392" i="21"/>
  <c r="M392" i="21" s="1"/>
  <c r="E129" i="21" l="1"/>
  <c r="D129" i="21" s="1"/>
  <c r="F129" i="21" s="1"/>
  <c r="E563" i="21"/>
  <c r="D563" i="21" s="1"/>
  <c r="F563" i="21" s="1"/>
  <c r="E388" i="21"/>
  <c r="D388" i="21" s="1"/>
  <c r="F388" i="21" s="1"/>
  <c r="P393" i="21"/>
  <c r="O393" i="21"/>
  <c r="M393" i="21" s="1"/>
  <c r="E389" i="21" l="1"/>
  <c r="D389" i="21" s="1"/>
  <c r="F389" i="21" s="1"/>
  <c r="E564" i="21"/>
  <c r="D564" i="21" s="1"/>
  <c r="F564" i="21" s="1"/>
  <c r="E130" i="21"/>
  <c r="D130" i="21" s="1"/>
  <c r="F130" i="21" s="1"/>
  <c r="P394" i="21"/>
  <c r="O394" i="21"/>
  <c r="M394" i="21" s="1"/>
  <c r="E131" i="21" l="1"/>
  <c r="D131" i="21" s="1"/>
  <c r="F131" i="21" s="1"/>
  <c r="E565" i="21"/>
  <c r="D565" i="21" s="1"/>
  <c r="F565" i="21" s="1"/>
  <c r="E390" i="21"/>
  <c r="D390" i="21" s="1"/>
  <c r="F390" i="21" s="1"/>
  <c r="E391" i="21" l="1"/>
  <c r="D391" i="21" s="1"/>
  <c r="F391" i="21" s="1"/>
  <c r="E566" i="21"/>
  <c r="D566" i="21" s="1"/>
  <c r="F566" i="21" s="1"/>
  <c r="E132" i="21"/>
  <c r="D132" i="21" s="1"/>
  <c r="F132" i="21" s="1"/>
  <c r="E133" i="21" l="1"/>
  <c r="E567" i="21"/>
  <c r="D567" i="21" s="1"/>
  <c r="F567" i="21" s="1"/>
  <c r="E392" i="21"/>
  <c r="D392" i="21" s="1"/>
  <c r="F392" i="21" s="1"/>
  <c r="E393" i="21" l="1"/>
  <c r="D393" i="21" s="1"/>
  <c r="F393" i="21" s="1"/>
  <c r="E568" i="21"/>
  <c r="D133" i="21"/>
  <c r="F133" i="21" s="1"/>
  <c r="E134" i="21"/>
  <c r="F134" i="21" s="1"/>
  <c r="E394" i="21" l="1"/>
  <c r="D568" i="21"/>
  <c r="F568" i="21" s="1"/>
  <c r="E569" i="21"/>
  <c r="F569" i="21" s="1"/>
  <c r="D394" i="21" l="1"/>
  <c r="F394" i="21" s="1"/>
  <c r="E395" i="21"/>
  <c r="F395" i="21" s="1"/>
  <c r="J12" i="15" l="1"/>
  <c r="G14" i="15"/>
  <c r="G15" i="15"/>
  <c r="G16" i="15"/>
  <c r="G17" i="15"/>
  <c r="G18" i="15"/>
  <c r="G19" i="15"/>
  <c r="F11" i="13"/>
  <c r="C12" i="13"/>
  <c r="J21" i="12"/>
  <c r="K18" i="12"/>
  <c r="E12" i="13" l="1"/>
  <c r="E12" i="10"/>
  <c r="D12" i="10" s="1"/>
  <c r="D14" i="10" s="1"/>
  <c r="F14" i="10"/>
  <c r="C14" i="10"/>
  <c r="K14" i="10"/>
  <c r="L14" i="10"/>
  <c r="M14" i="10"/>
  <c r="N14" i="10"/>
  <c r="O14" i="10"/>
  <c r="P14" i="10"/>
  <c r="J14" i="10"/>
  <c r="P15" i="10" s="1"/>
  <c r="E20" i="8"/>
  <c r="C47" i="7"/>
  <c r="D47" i="7" s="1"/>
  <c r="C48" i="7" s="1"/>
  <c r="C30" i="7"/>
  <c r="D30" i="7" s="1"/>
  <c r="E14" i="10" l="1"/>
  <c r="F15" i="10" s="1"/>
  <c r="D48" i="7"/>
  <c r="C49" i="7" s="1"/>
  <c r="C31" i="7"/>
  <c r="D31" i="7" s="1"/>
  <c r="C32" i="7" s="1"/>
  <c r="D32" i="7" s="1"/>
  <c r="C15" i="15"/>
  <c r="C16" i="15"/>
  <c r="C17" i="15"/>
  <c r="C18" i="15"/>
  <c r="C19" i="15"/>
  <c r="C14" i="15"/>
  <c r="E14" i="15"/>
  <c r="D49" i="7" l="1"/>
  <c r="C50" i="7" s="1"/>
  <c r="C33" i="7"/>
  <c r="D33" i="7" s="1"/>
  <c r="D14" i="15"/>
  <c r="F14" i="15" s="1"/>
  <c r="E15" i="15" s="1"/>
  <c r="D15" i="15" s="1"/>
  <c r="F15" i="15" s="1"/>
  <c r="E16" i="15"/>
  <c r="D16" i="15" s="1"/>
  <c r="F16" i="15" s="1"/>
  <c r="F19" i="14"/>
  <c r="C13" i="14"/>
  <c r="E13" i="14" s="1"/>
  <c r="F13" i="14" s="1"/>
  <c r="C14" i="14"/>
  <c r="E14" i="14" s="1"/>
  <c r="F14" i="14" s="1"/>
  <c r="C15" i="14"/>
  <c r="E15" i="14" s="1"/>
  <c r="F15" i="14" s="1"/>
  <c r="C16" i="14"/>
  <c r="E16" i="14" s="1"/>
  <c r="F16" i="14" s="1"/>
  <c r="C17" i="14"/>
  <c r="E17" i="14" s="1"/>
  <c r="F17" i="14" s="1"/>
  <c r="C18" i="14"/>
  <c r="E18" i="14" s="1"/>
  <c r="F18" i="14" s="1"/>
  <c r="C12" i="14"/>
  <c r="E12" i="14" s="1"/>
  <c r="F12" i="14" s="1"/>
  <c r="F11" i="14"/>
  <c r="F10" i="14"/>
  <c r="E11" i="14"/>
  <c r="D50" i="7" l="1"/>
  <c r="C51" i="7" s="1"/>
  <c r="C34" i="7"/>
  <c r="D34" i="7"/>
  <c r="E17" i="15"/>
  <c r="D17" i="15" s="1"/>
  <c r="F17" i="15" s="1"/>
  <c r="C13" i="13"/>
  <c r="D51" i="7" l="1"/>
  <c r="E18" i="15"/>
  <c r="D18" i="15" s="1"/>
  <c r="F18" i="15" s="1"/>
  <c r="N17" i="12"/>
  <c r="C18" i="12"/>
  <c r="C19" i="12"/>
  <c r="C20" i="12"/>
  <c r="C21" i="12"/>
  <c r="C22" i="12"/>
  <c r="C23" i="12"/>
  <c r="C7" i="12"/>
  <c r="C17" i="12"/>
  <c r="E17" i="12"/>
  <c r="C8" i="11"/>
  <c r="C14" i="11"/>
  <c r="C15" i="11"/>
  <c r="C16" i="11"/>
  <c r="C17" i="11"/>
  <c r="C13" i="11"/>
  <c r="D13" i="11" s="1"/>
  <c r="F13" i="11" s="1"/>
  <c r="E14" i="11" s="1"/>
  <c r="E13" i="11"/>
  <c r="E19" i="15" l="1"/>
  <c r="D19" i="15" s="1"/>
  <c r="F19" i="15" s="1"/>
  <c r="D17" i="12"/>
  <c r="F17" i="12" s="1"/>
  <c r="E18" i="12" s="1"/>
  <c r="D18" i="12" s="1"/>
  <c r="F18" i="12" s="1"/>
  <c r="E19" i="12" s="1"/>
  <c r="D19" i="12" s="1"/>
  <c r="F19" i="12" s="1"/>
  <c r="D14" i="11"/>
  <c r="F14" i="11" s="1"/>
  <c r="E15" i="11" s="1"/>
  <c r="D15" i="11" s="1"/>
  <c r="F15" i="11" s="1"/>
  <c r="C12" i="9"/>
  <c r="H12" i="9"/>
  <c r="I12" i="9"/>
  <c r="J12" i="9"/>
  <c r="K12" i="9"/>
  <c r="L12" i="9"/>
  <c r="B12" i="9"/>
  <c r="D10" i="9"/>
  <c r="E10" i="9" s="1"/>
  <c r="E11" i="8"/>
  <c r="F11" i="8" s="1"/>
  <c r="E12" i="8"/>
  <c r="F12" i="8"/>
  <c r="E13" i="8"/>
  <c r="F13" i="8" s="1"/>
  <c r="E14" i="8"/>
  <c r="F14" i="8" s="1"/>
  <c r="E15" i="8"/>
  <c r="F15" i="8" s="1"/>
  <c r="E16" i="8"/>
  <c r="F16" i="8" s="1"/>
  <c r="E17" i="8"/>
  <c r="F17" i="8" s="1"/>
  <c r="E18" i="8"/>
  <c r="F18" i="8" s="1"/>
  <c r="E19" i="8"/>
  <c r="F19" i="8" s="1"/>
  <c r="F20" i="8"/>
  <c r="E21" i="8"/>
  <c r="F21" i="8" s="1"/>
  <c r="E22" i="8"/>
  <c r="F22" i="8" s="1"/>
  <c r="F10" i="8"/>
  <c r="C43" i="7"/>
  <c r="C26" i="7"/>
  <c r="E8" i="7"/>
  <c r="C13" i="7"/>
  <c r="D13" i="7" s="1"/>
  <c r="C14" i="7" s="1"/>
  <c r="F23" i="8" l="1"/>
  <c r="E20" i="12"/>
  <c r="D20" i="12" s="1"/>
  <c r="F20" i="12" s="1"/>
  <c r="E16" i="11"/>
  <c r="D16" i="11" s="1"/>
  <c r="F16" i="11" s="1"/>
  <c r="E12" i="9"/>
  <c r="F10" i="9"/>
  <c r="D12" i="9"/>
  <c r="D14" i="7"/>
  <c r="C15" i="7" s="1"/>
  <c r="D15" i="7" s="1"/>
  <c r="C16" i="7" s="1"/>
  <c r="D39" i="5"/>
  <c r="D10" i="4"/>
  <c r="D16" i="7" l="1"/>
  <c r="C17" i="7" s="1"/>
  <c r="E21" i="12"/>
  <c r="D21" i="12" s="1"/>
  <c r="F21" i="12" s="1"/>
  <c r="E17" i="11"/>
  <c r="D17" i="11" s="1"/>
  <c r="F17" i="11" s="1"/>
  <c r="F12" i="9"/>
  <c r="G10" i="9"/>
  <c r="G12" i="9" s="1"/>
  <c r="D12" i="6"/>
  <c r="D24" i="6"/>
  <c r="D17" i="7" l="1"/>
  <c r="E22" i="12"/>
  <c r="D22" i="12" s="1"/>
  <c r="F22" i="12" s="1"/>
  <c r="L13" i="9"/>
  <c r="D40" i="5"/>
  <c r="C40" i="5"/>
  <c r="C39" i="5"/>
  <c r="H24" i="5"/>
  <c r="D15" i="5"/>
  <c r="D16" i="5" s="1"/>
  <c r="D17" i="5" s="1"/>
  <c r="D18" i="5" s="1"/>
  <c r="D19" i="5" s="1"/>
  <c r="D20" i="5" s="1"/>
  <c r="D21" i="5" s="1"/>
  <c r="D22" i="5" s="1"/>
  <c r="D23" i="5" s="1"/>
  <c r="D24" i="5" s="1"/>
  <c r="D25" i="5" s="1"/>
  <c r="D14" i="5"/>
  <c r="E23" i="12" l="1"/>
  <c r="D23" i="12" s="1"/>
  <c r="F23" i="12" s="1"/>
  <c r="C41" i="5"/>
  <c r="D41"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K25" i="4" s="1"/>
  <c r="C42" i="5" l="1"/>
  <c r="D42"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K22" i="4" s="1"/>
  <c r="D11" i="3"/>
  <c r="D12" i="3"/>
  <c r="D13" i="3"/>
  <c r="D14" i="3"/>
  <c r="D15" i="3"/>
  <c r="D10"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3" i="5" l="1"/>
  <c r="D43" i="5"/>
  <c r="C44" i="5" l="1"/>
  <c r="D44" i="5" s="1"/>
  <c r="C45" i="5" l="1"/>
  <c r="D45" i="5" s="1"/>
  <c r="C46" i="5" l="1"/>
  <c r="D46" i="5" s="1"/>
  <c r="C47" i="5" l="1"/>
  <c r="D47" i="5" s="1"/>
  <c r="C48" i="5" l="1"/>
  <c r="D48" i="5" s="1"/>
  <c r="C49" i="5" l="1"/>
  <c r="D49" i="5" s="1"/>
  <c r="C50" i="5" l="1"/>
  <c r="D50" i="5" s="1"/>
  <c r="D12" i="13"/>
  <c r="F12" i="13" s="1"/>
  <c r="E13" i="13" s="1"/>
  <c r="D13" i="13" s="1"/>
  <c r="F13" i="13" s="1"/>
</calcChain>
</file>

<file path=xl/sharedStrings.xml><?xml version="1.0" encoding="utf-8"?>
<sst xmlns="http://schemas.openxmlformats.org/spreadsheetml/2006/main" count="891" uniqueCount="438">
  <si>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</si>
  <si>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</si>
  <si>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</si>
  <si>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</si>
  <si>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</si>
  <si>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</si>
  <si>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</si>
  <si>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</si>
  <si>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</si>
  <si>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</si>
  <si>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</si>
  <si>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</si>
  <si>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</si>
  <si>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</si>
  <si>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</si>
  <si>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</si>
  <si>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</si>
  <si>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</si>
  <si>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</si>
  <si>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</si>
  <si>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</si>
  <si>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</si>
  <si>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</si>
  <si>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</si>
  <si>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</si>
  <si>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</si>
  <si>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</si>
  <si>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</si>
  <si>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</si>
  <si>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</si>
  <si>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</si>
  <si>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</si>
  <si>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</si>
  <si>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</si>
  <si>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</si>
  <si>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</si>
  <si>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</si>
  <si>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</si>
  <si>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</si>
  <si>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</si>
  <si>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</si>
  <si>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</si>
  <si>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</si>
  <si>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</si>
  <si>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</si>
  <si>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</si>
  <si>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</si>
  <si>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</si>
  <si>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</si>
  <si>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</si>
  <si>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</si>
  <si>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</si>
  <si>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</si>
  <si>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</si>
  <si>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</si>
  <si>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</si>
  <si>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</si>
  <si>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</si>
  <si>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</si>
  <si>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</si>
  <si>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</si>
  <si>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</si>
  <si>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</si>
  <si>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</si>
  <si>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</si>
  <si>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</si>
  <si>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</si>
  <si>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</si>
  <si>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</si>
  <si>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</si>
  <si>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</si>
  <si>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</si>
  <si>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</si>
  <si>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</si>
  <si>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</si>
  <si>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</si>
  <si>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</si>
  <si>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</si>
  <si>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</si>
  <si>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</si>
  <si>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</si>
  <si>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</si>
  <si>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</si>
  <si>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</si>
  <si>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</si>
  <si>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</si>
  <si>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</si>
  <si>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</si>
  <si>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</si>
  <si>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</si>
  <si>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</si>
  <si>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</si>
  <si>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</si>
  <si>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</si>
  <si>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</si>
  <si>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</si>
  <si>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</si>
  <si>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</si>
  <si>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</si>
  <si>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</si>
  <si>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</si>
  <si>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</si>
  <si>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</si>
  <si>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</si>
  <si>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pago 2</t>
  </si>
  <si>
    <t>pago 3</t>
  </si>
  <si>
    <t>pago 4</t>
  </si>
  <si>
    <t>18.</t>
  </si>
  <si>
    <t>En el préstamo de $300.000 del ejercicio 10, se ha decidido hacer una renegociación de los pagos por medio de cinco cuotas anuales. ¿De cuánto serían las cuotas?</t>
  </si>
  <si>
    <t>A</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</si>
  <si>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</si>
  <si>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</si>
  <si>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</si>
  <si>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</si>
  <si>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</si>
  <si>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</si>
  <si>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</si>
  <si>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</si>
  <si>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</si>
  <si>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</si>
  <si>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</si>
  <si>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</si>
  <si>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</si>
  <si>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</si>
  <si>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</si>
  <si>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</si>
  <si>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</si>
  <si>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</si>
  <si>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</si>
  <si>
    <t>21.</t>
  </si>
  <si>
    <t>Considere el siguiente diagrama de flujo de efectivo. ¿Cuál es el valor de C que hace a la serie de ingresos equivalente a la serie de egresos? La tasa de interés es del 12% compuesta anualmente</t>
  </si>
  <si>
    <t>Egresos</t>
  </si>
  <si>
    <t>Ingresos</t>
  </si>
  <si>
    <t>C</t>
  </si>
  <si>
    <r>
      <rPr>
        <sz val="7"/>
        <color theme="1"/>
        <rFont val="Times New Roman"/>
        <family val="1"/>
      </rPr>
      <t xml:space="preserve">   </t>
    </r>
    <r>
      <rPr>
        <sz val="11"/>
        <color theme="1"/>
        <rFont val="Calibri"/>
        <family val="2"/>
        <scheme val="minor"/>
      </rPr>
      <t>Va a comprar un computador y tiene dos opciones de pago; tarjeta de crédito y cheque posfechado a 90 días.</t>
    </r>
  </si>
  <si>
    <r>
      <t>a.</t>
    </r>
    <r>
      <rPr>
        <sz val="7"/>
        <color theme="1"/>
        <rFont val="Times New Roman"/>
        <family val="1"/>
      </rPr>
      <t xml:space="preserve">       </t>
    </r>
    <r>
      <rPr>
        <sz val="11"/>
        <color theme="1"/>
        <rFont val="Calibri"/>
        <family val="2"/>
        <scheme val="minor"/>
      </rPr>
      <t>Si paga con tarjeta de crédito, el pago se difiere automáticamente a 6 cuotas mensuales con una tasa de interés mensual de 1.9%.</t>
    </r>
  </si>
  <si>
    <t>N(mes)</t>
  </si>
  <si>
    <r>
      <t>b.</t>
    </r>
    <r>
      <rPr>
        <sz val="7"/>
        <color theme="1"/>
        <rFont val="Times New Roman"/>
        <family val="1"/>
      </rPr>
      <t xml:space="preserve">       </t>
    </r>
    <r>
      <rPr>
        <sz val="11"/>
        <color theme="1"/>
        <rFont val="Calibri"/>
        <family val="2"/>
        <scheme val="minor"/>
      </rPr>
      <t>Si paga con cheque posfechado el valor del computador se incrementa en un 12%.</t>
    </r>
  </si>
  <si>
    <t>Si el computador vale $1’800.000 ¿cuál es la mejor forma de pago?</t>
  </si>
  <si>
    <t>Valor Futuro</t>
  </si>
  <si>
    <t>23.</t>
  </si>
  <si>
    <t xml:space="preserve"> Se llego a que el bien costaria hoy 12.691, teniendo en cuenta que la inflación no es constante.</t>
  </si>
  <si>
    <t>Si la inflacion fuese constante, el valor presente del bien seria 12.731.</t>
  </si>
  <si>
    <r>
      <t xml:space="preserve">El valor del carro hace cinco años, con un inflacion del 5%, es de 2.350.578. a este proceso se le conoce como </t>
    </r>
    <r>
      <rPr>
        <b/>
        <sz val="11"/>
        <color theme="1"/>
        <rFont val="Calibri"/>
        <family val="2"/>
        <scheme val="minor"/>
      </rPr>
      <t>Deflactacion</t>
    </r>
  </si>
  <si>
    <t>Valor de 1.000.000 de hoy en 1990</t>
  </si>
  <si>
    <r>
      <t xml:space="preserve">El valor monetario de 1.000.000 de 1990, </t>
    </r>
    <r>
      <rPr>
        <b/>
        <sz val="11"/>
        <color theme="1"/>
        <rFont val="Calibri"/>
        <family val="2"/>
        <scheme val="minor"/>
      </rPr>
      <t>hoy</t>
    </r>
    <r>
      <rPr>
        <sz val="11"/>
        <color theme="1"/>
        <rFont val="Calibri"/>
        <family val="2"/>
        <scheme val="minor"/>
      </rPr>
      <t xml:space="preserve">, es igual a </t>
    </r>
    <r>
      <rPr>
        <b/>
        <sz val="11"/>
        <color theme="1"/>
        <rFont val="Calibri"/>
        <family val="2"/>
        <scheme val="minor"/>
      </rPr>
      <t xml:space="preserve">17.472.499.  Y el valor monetario de 1.000.000 de hoy, en </t>
    </r>
    <r>
      <rPr>
        <sz val="11"/>
        <color theme="1"/>
        <rFont val="Calibri"/>
        <family val="2"/>
        <scheme val="minor"/>
      </rPr>
      <t>1990</t>
    </r>
    <r>
      <rPr>
        <b/>
        <sz val="11"/>
        <color theme="1"/>
        <rFont val="Calibri"/>
        <family val="2"/>
        <scheme val="minor"/>
      </rPr>
      <t xml:space="preserve">, </t>
    </r>
    <r>
      <rPr>
        <sz val="11"/>
        <color theme="1"/>
        <rFont val="Calibri"/>
        <family val="2"/>
        <scheme val="minor"/>
      </rPr>
      <t>es igual a</t>
    </r>
    <r>
      <rPr>
        <b/>
        <sz val="11"/>
        <color theme="1"/>
        <rFont val="Calibri"/>
        <family val="2"/>
        <scheme val="minor"/>
      </rPr>
      <t xml:space="preserve"> 57.233.</t>
    </r>
  </si>
  <si>
    <t>Ganancia monetaria 1.000.000 de 1990</t>
  </si>
  <si>
    <t>Ganancia monetaria de 1.000.000 del 2019</t>
  </si>
  <si>
    <t xml:space="preserve">El valor economico se mantuvo porque se uso la tasa de inflacion como tasa de interes, lo que hace que el valor se mantenga a traves del tiempo, pero no causa una ganancia economica como tal. Ya que para esto la tasa de interes debe ser mayor que la inflacion en cada año. </t>
  </si>
  <si>
    <t>Interes simple y compuesto</t>
  </si>
  <si>
    <r>
      <t xml:space="preserve">Al final del año el tentero pago al prestamista, el principal con los intereses de cada mes, por un total de </t>
    </r>
    <r>
      <rPr>
        <b/>
        <sz val="11"/>
        <color theme="1"/>
        <rFont val="Calibri"/>
        <family val="2"/>
        <scheme val="minor"/>
      </rPr>
      <t xml:space="preserve">1.600.000; </t>
    </r>
    <r>
      <rPr>
        <sz val="11"/>
        <color theme="1"/>
        <rFont val="Calibri"/>
        <family val="2"/>
        <scheme val="minor"/>
      </rPr>
      <t xml:space="preserve">de los cuales </t>
    </r>
    <r>
      <rPr>
        <b/>
        <sz val="11"/>
        <color theme="1"/>
        <rFont val="Calibri"/>
        <family val="2"/>
        <scheme val="minor"/>
      </rPr>
      <t xml:space="preserve">600.000 </t>
    </r>
    <r>
      <rPr>
        <sz val="11"/>
        <color theme="1"/>
        <rFont val="Calibri"/>
        <family val="2"/>
        <scheme val="minor"/>
      </rPr>
      <t xml:space="preserve">fueron los intereses generados. </t>
    </r>
  </si>
  <si>
    <r>
      <t xml:space="preserve">El costo de haber resivido el prestamo, fue de </t>
    </r>
    <r>
      <rPr>
        <b/>
        <sz val="11"/>
        <color theme="1"/>
        <rFont val="Calibri"/>
        <family val="2"/>
        <scheme val="minor"/>
      </rPr>
      <t>600.000,</t>
    </r>
    <r>
      <rPr>
        <sz val="11"/>
        <color theme="1"/>
        <rFont val="Calibri"/>
        <family val="2"/>
        <scheme val="minor"/>
      </rPr>
      <t xml:space="preserve"> con una tasa mensual de </t>
    </r>
    <r>
      <rPr>
        <b/>
        <sz val="11"/>
        <color theme="1"/>
        <rFont val="Calibri"/>
        <family val="2"/>
        <scheme val="minor"/>
      </rPr>
      <t>5%.</t>
    </r>
  </si>
  <si>
    <r>
      <t xml:space="preserve">El tendero deberia tomar el prestamo con la entidad financiera formal, ya que con la tasa de interes que ofrece (1,53%) el tendero pagaria la misma cantidad de intereses al final del compromiso financiero; pero habra adquirido una cantidad mayor de dinero al inicio de dicho compromiso. Pagando al final un total de </t>
    </r>
    <r>
      <rPr>
        <b/>
        <sz val="11"/>
        <color theme="1"/>
        <rFont val="Calibri"/>
        <family val="2"/>
        <scheme val="minor"/>
      </rPr>
      <t>3.599.597</t>
    </r>
    <r>
      <rPr>
        <sz val="11"/>
        <color theme="1"/>
        <rFont val="Calibri"/>
        <family val="2"/>
        <scheme val="minor"/>
      </rPr>
      <t xml:space="preserve">, de los cuales </t>
    </r>
    <r>
      <rPr>
        <b/>
        <sz val="11"/>
        <color theme="1"/>
        <rFont val="Calibri"/>
        <family val="2"/>
        <scheme val="minor"/>
      </rPr>
      <t xml:space="preserve">599.597 </t>
    </r>
    <r>
      <rPr>
        <sz val="11"/>
        <color theme="1"/>
        <rFont val="Calibri"/>
        <family val="2"/>
        <scheme val="minor"/>
      </rPr>
      <t>son los intereses generados.</t>
    </r>
  </si>
  <si>
    <r>
      <t xml:space="preserve">El valor del prestamo es igual a </t>
    </r>
    <r>
      <rPr>
        <b/>
        <sz val="11"/>
        <color theme="1"/>
        <rFont val="Calibri"/>
        <family val="2"/>
        <scheme val="minor"/>
      </rPr>
      <t>4.083</t>
    </r>
    <r>
      <rPr>
        <sz val="11"/>
        <color theme="1"/>
        <rFont val="Calibri"/>
        <family val="2"/>
        <scheme val="minor"/>
      </rPr>
      <t>, de tal manera que con una tasa del 8% EA, al final de 5 años la persona pagaria los 6.000</t>
    </r>
  </si>
  <si>
    <r>
      <t xml:space="preserve">El dinero requerido para pagar el prestamo de 15.000 con una tasa de interes del 8%, es igual </t>
    </r>
    <r>
      <rPr>
        <b/>
        <sz val="11"/>
        <color theme="1"/>
        <rFont val="Calibri"/>
        <family val="2"/>
        <scheme val="minor"/>
      </rPr>
      <t xml:space="preserve">22.040 </t>
    </r>
    <r>
      <rPr>
        <sz val="11"/>
        <color theme="1"/>
        <rFont val="Calibri"/>
        <family val="2"/>
        <scheme val="minor"/>
      </rPr>
      <t>en 5 años</t>
    </r>
  </si>
  <si>
    <r>
      <t xml:space="preserve">La persona recibira en 5 años con una tasa de interes del 15% EA, un total de </t>
    </r>
    <r>
      <rPr>
        <b/>
        <sz val="11"/>
        <color theme="1"/>
        <rFont val="Calibri"/>
        <family val="2"/>
        <scheme val="minor"/>
      </rPr>
      <t>603.470</t>
    </r>
    <r>
      <rPr>
        <sz val="11"/>
        <color theme="1"/>
        <rFont val="Calibri"/>
        <family val="2"/>
        <scheme val="minor"/>
      </rPr>
      <t xml:space="preserve">, al haber prestado 300.000. </t>
    </r>
  </si>
  <si>
    <t>Interes BO</t>
  </si>
  <si>
    <r>
      <t xml:space="preserve">La tasa de interes debe ser igual a </t>
    </r>
    <r>
      <rPr>
        <b/>
        <sz val="11"/>
        <color theme="1"/>
        <rFont val="Calibri"/>
        <family val="2"/>
        <scheme val="minor"/>
      </rPr>
      <t xml:space="preserve">10,76% </t>
    </r>
    <r>
      <rPr>
        <sz val="11"/>
        <color theme="1"/>
        <rFont val="Calibri"/>
        <family val="2"/>
        <scheme val="minor"/>
      </rPr>
      <t>EA, para recibir 500.000 al final de 5 años</t>
    </r>
  </si>
  <si>
    <r>
      <t xml:space="preserve">Si se desea doblar el capital en 5 años, la tasa de interes EA debe ser de </t>
    </r>
    <r>
      <rPr>
        <b/>
        <sz val="11"/>
        <color theme="1"/>
        <rFont val="Calibri"/>
        <family val="2"/>
        <scheme val="minor"/>
      </rPr>
      <t>14,87%</t>
    </r>
  </si>
  <si>
    <t xml:space="preserve"> Ingresos</t>
  </si>
  <si>
    <r>
      <t xml:space="preserve">El valor del pago 1 es igual a </t>
    </r>
    <r>
      <rPr>
        <b/>
        <sz val="11"/>
        <color theme="1"/>
        <rFont val="Calibri"/>
        <family val="2"/>
        <scheme val="minor"/>
      </rPr>
      <t xml:space="preserve">105,11. </t>
    </r>
  </si>
  <si>
    <t>pago 5</t>
  </si>
  <si>
    <t>pago 6</t>
  </si>
  <si>
    <t>pago 7</t>
  </si>
  <si>
    <t>Meses</t>
  </si>
  <si>
    <t>Renegociando el compromiso financiero</t>
  </si>
  <si>
    <t>SIN Renegociar el compromiso financiero</t>
  </si>
  <si>
    <t>Suma de valores presentes de los pagos</t>
  </si>
  <si>
    <t>Renegociando el compromiso financiero  la suma de los valores presentes de cada pago, debe ser igual a la hallada SIN renegociar</t>
  </si>
  <si>
    <r>
      <t xml:space="preserve">Suponiendo que el primer pago se realiza en el mes 2, y despues de este se renegocia el compromiso, los nuevos pagos se realizan cada 4 meses y son de </t>
    </r>
    <r>
      <rPr>
        <b/>
        <sz val="11"/>
        <color theme="1"/>
        <rFont val="Calibri"/>
        <family val="2"/>
        <scheme val="minor"/>
      </rPr>
      <t xml:space="preserve">102,02  </t>
    </r>
  </si>
  <si>
    <t>Ventajas</t>
  </si>
  <si>
    <t>Se realizan menos pagos</t>
  </si>
  <si>
    <t>Desventajas</t>
  </si>
  <si>
    <t>La cuota del pago es mas alto</t>
  </si>
  <si>
    <t>Pagos desiguales</t>
  </si>
  <si>
    <t>Pagos Uniformes</t>
  </si>
  <si>
    <t>A(BO)</t>
  </si>
  <si>
    <r>
      <t xml:space="preserve">El valor de la cuota seria de </t>
    </r>
    <r>
      <rPr>
        <b/>
        <sz val="11"/>
        <color theme="1"/>
        <rFont val="Calibri"/>
        <family val="2"/>
        <scheme val="minor"/>
      </rPr>
      <t xml:space="preserve">89.495; </t>
    </r>
    <r>
      <rPr>
        <sz val="11"/>
        <color theme="1"/>
        <rFont val="Calibri"/>
        <family val="2"/>
        <scheme val="minor"/>
      </rPr>
      <t xml:space="preserve">la cual fue encontrada usando una tabla de amortizacion (Buscar objetivo), y usando la funcion </t>
    </r>
    <r>
      <rPr>
        <b/>
        <sz val="11"/>
        <color theme="1"/>
        <rFont val="Calibri"/>
        <family val="2"/>
        <scheme val="minor"/>
      </rPr>
      <t>PAGO</t>
    </r>
  </si>
  <si>
    <t>Formula usada</t>
  </si>
  <si>
    <t xml:space="preserve">Formula: </t>
  </si>
  <si>
    <t>Valor futuro de 10000 en 7 años</t>
  </si>
  <si>
    <t>Saldo K-1</t>
  </si>
  <si>
    <t>Saldo K+1</t>
  </si>
  <si>
    <r>
      <t xml:space="preserve">El valor de C que hace a la serie de ingreso equivalente a la serie de egresos, es igual a </t>
    </r>
    <r>
      <rPr>
        <b/>
        <sz val="11"/>
        <color theme="1"/>
        <rFont val="Calibri"/>
        <family val="2"/>
        <scheme val="minor"/>
      </rPr>
      <t>1164,78</t>
    </r>
  </si>
  <si>
    <t xml:space="preserve">Al final del compromiso financiero, pagando con tarjeta de credito por cuotas (6), el valor del computador sera igual a 2.015.197,47. Mientras que con el cheque posfechado a 90 dias, el computador habra valido 2.016.000. La diferencia entre estos valores es de 802,53 lo que no representa un gran ahorro; entonces lo que debe tenerse en cuenta para elegir es: la cantidad de tiempo pagando y el valor de cada pago (Con tarjeta cada pago es de 320.263 po 6 meses, mientras que con cheque es un solo pago de 2.016.000 a los tres meses). </t>
  </si>
  <si>
    <t>Calculo de Intereses</t>
  </si>
  <si>
    <t>Una compañía pasa por un estado de falta de fondos que alcanza $4’000.000. En una búsqueda de financiación a un año, se logran conseguir los siguientes préstamos:</t>
  </si>
  <si>
    <t>25.</t>
  </si>
  <si>
    <r>
      <t xml:space="preserve">Significa que, si por ejemplo adquire una obligacion financiera de 1.000.000 de pesos en 1990; para pagar la misma obligacion  en el 2019 necesitaria un total de </t>
    </r>
    <r>
      <rPr>
        <b/>
        <sz val="11"/>
        <color theme="1"/>
        <rFont val="Calibri"/>
        <family val="2"/>
        <scheme val="minor"/>
      </rPr>
      <t xml:space="preserve">17.472.499 </t>
    </r>
    <r>
      <rPr>
        <sz val="11"/>
        <color theme="1"/>
        <rFont val="Calibri"/>
        <family val="2"/>
        <scheme val="minor"/>
      </rPr>
      <t xml:space="preserve"> para que sean equivalentes. Al igual que si se adquiere hoy un a deuda de 1.000.000, para pagar la misma deuda en 1990 necesitaria </t>
    </r>
    <r>
      <rPr>
        <b/>
        <sz val="11"/>
        <color theme="1"/>
        <rFont val="Calibri"/>
        <family val="2"/>
        <scheme val="minor"/>
      </rPr>
      <t>57.233</t>
    </r>
    <r>
      <rPr>
        <sz val="11"/>
        <color theme="1"/>
        <rFont val="Calibri"/>
        <family val="2"/>
        <scheme val="minor"/>
      </rPr>
      <t>. Esto se debe a que el dinero adquiere valor a travez del tiempo debido a la inflacion.  Por ejemplo antes con 1000 pesos se podia comprar una gaseosa y una empanada en la tienda; pero hoy con los mismos 1000 pesos uno no compra ninguna de las dos. Las decisiones economicas de ven afectadas de tal manera que para comprar un mismo bien hoy se necesitaria mas dinero del que era requerido en 1990.</t>
    </r>
  </si>
  <si>
    <t xml:space="preserve">Esto implica que el pago de una deuda o la cantidad que aumenta una inversion, es proporcional a la inflacion; para que una persona que deposita 1990 1.000.000 de pesos en el banco, en realidad este ganando dinero la tasa en la que se capitaliza el dinero debe ser mayor a la inflacion; de lo contrario el dinero simplemente seria equivalente o menor de lo que era en el momento en el que se deposito. </t>
  </si>
  <si>
    <t xml:space="preserve">Tasa de interés </t>
  </si>
  <si>
    <t>EA</t>
  </si>
  <si>
    <t>Préstamo</t>
  </si>
  <si>
    <t xml:space="preserve">Cuota </t>
  </si>
  <si>
    <t xml:space="preserve">Interés </t>
  </si>
  <si>
    <t xml:space="preserve">Abono </t>
  </si>
  <si>
    <t xml:space="preserve">Saldo </t>
  </si>
  <si>
    <t xml:space="preserve">El valor de las cuotas es de 2398,16, teniendo en cuenta que es un pago uniforme anticipado </t>
  </si>
  <si>
    <r>
      <t>a.</t>
    </r>
    <r>
      <rPr>
        <sz val="7"/>
        <color theme="1"/>
        <rFont val="Times New Roman"/>
        <family val="1"/>
      </rPr>
      <t xml:space="preserve">       </t>
    </r>
    <r>
      <rPr>
        <sz val="11"/>
        <color theme="1"/>
        <rFont val="Calibri"/>
        <family val="2"/>
        <scheme val="minor"/>
      </rPr>
      <t>$1’500.000 al 2% mensuales pagaderos en 2 cuotas semestrales.</t>
    </r>
  </si>
  <si>
    <t>ES</t>
  </si>
  <si>
    <t xml:space="preserve">Préstamo </t>
  </si>
  <si>
    <t>Tasa ES</t>
  </si>
  <si>
    <t>Tasa nominal MS</t>
  </si>
  <si>
    <t>n (pagos)</t>
  </si>
  <si>
    <r>
      <t>b.</t>
    </r>
    <r>
      <rPr>
        <sz val="7"/>
        <color theme="1"/>
        <rFont val="Times New Roman"/>
        <family val="1"/>
      </rPr>
      <t xml:space="preserve">       </t>
    </r>
    <r>
      <rPr>
        <sz val="11"/>
        <color theme="1"/>
        <rFont val="Calibri"/>
        <family val="2"/>
        <scheme val="minor"/>
      </rPr>
      <t>$300.000, con un interés efectivo anual de 6% pagaderos al final del año.</t>
    </r>
  </si>
  <si>
    <t xml:space="preserve">Pago </t>
  </si>
  <si>
    <t>Interés</t>
  </si>
  <si>
    <r>
      <t>c.</t>
    </r>
    <r>
      <rPr>
        <sz val="7"/>
        <color theme="1"/>
        <rFont val="Times New Roman"/>
        <family val="1"/>
      </rPr>
      <t xml:space="preserve">       </t>
    </r>
    <r>
      <rPr>
        <sz val="11"/>
        <color theme="1"/>
        <rFont val="Calibri"/>
        <family val="2"/>
        <scheme val="minor"/>
      </rPr>
      <t>$400.000 al 36% anual compuesto trimestralmente pagadero a 4 cuotas trimestrales iguales cada periodo.</t>
    </r>
  </si>
  <si>
    <t>Tasa de nominal AT</t>
  </si>
  <si>
    <t xml:space="preserve">Tasa trimestral </t>
  </si>
  <si>
    <r>
      <rPr>
        <sz val="7"/>
        <color theme="1"/>
        <rFont val="Times New Roman"/>
        <family val="1"/>
      </rPr>
      <t xml:space="preserve">d.       </t>
    </r>
    <r>
      <rPr>
        <sz val="11"/>
        <color theme="1"/>
        <rFont val="Calibri"/>
        <family val="2"/>
        <scheme val="minor"/>
      </rPr>
      <t>$800.000 pagadero en un año, al final del cual se debe cancelar $1’056.000.</t>
    </r>
  </si>
  <si>
    <t xml:space="preserve">Pago  </t>
  </si>
  <si>
    <t xml:space="preserve">intereses </t>
  </si>
  <si>
    <t xml:space="preserve">Tasa </t>
  </si>
  <si>
    <r>
      <t>e.</t>
    </r>
    <r>
      <rPr>
        <sz val="7"/>
        <color theme="1"/>
        <rFont val="Times New Roman"/>
        <family val="1"/>
      </rPr>
      <t xml:space="preserve">       </t>
    </r>
    <r>
      <rPr>
        <sz val="11"/>
        <color theme="1"/>
        <rFont val="Calibri"/>
        <family val="2"/>
        <scheme val="minor"/>
      </rPr>
      <t>$500.000 pagadero en 12 cuotas mensuales de $48.740.</t>
    </r>
  </si>
  <si>
    <r>
      <t>f.</t>
    </r>
    <r>
      <rPr>
        <sz val="7"/>
        <color theme="1"/>
        <rFont val="Times New Roman"/>
        <family val="1"/>
      </rPr>
      <t xml:space="preserve">       </t>
    </r>
    <r>
      <rPr>
        <sz val="11"/>
        <color theme="1"/>
        <rFont val="Calibri"/>
        <family val="2"/>
        <scheme val="minor"/>
      </rPr>
      <t>$300.000 al 24% de interés anual anticipado. El capital y el interés se pagarán al finalizar el año.</t>
    </r>
  </si>
  <si>
    <r>
      <t>g.</t>
    </r>
    <r>
      <rPr>
        <sz val="7"/>
        <color theme="1"/>
        <rFont val="Times New Roman"/>
        <family val="1"/>
      </rPr>
      <t xml:space="preserve">       </t>
    </r>
    <r>
      <rPr>
        <sz val="11"/>
        <color theme="1"/>
        <rFont val="Calibri"/>
        <family val="2"/>
        <scheme val="minor"/>
      </rPr>
      <t>$200.000 al 30% anual efectivo, pagadero en 12 cuotas mensuales.</t>
    </r>
  </si>
  <si>
    <t>cuota</t>
  </si>
  <si>
    <t xml:space="preserve">Tasa  nominal </t>
  </si>
  <si>
    <t>EM</t>
  </si>
  <si>
    <t xml:space="preserve">La suma total de intereses </t>
  </si>
  <si>
    <t xml:space="preserve">La compañía pagó al final del año un total de 844.116 en intereses por todos los prestámos </t>
  </si>
  <si>
    <t>Tasa M</t>
  </si>
  <si>
    <t xml:space="preserve">PAGO UNIFORME ANTICIPADO </t>
  </si>
  <si>
    <r>
      <t>28.</t>
    </r>
    <r>
      <rPr>
        <sz val="7"/>
        <color theme="1"/>
        <rFont val="Times New Roman"/>
        <family val="1"/>
      </rPr>
      <t xml:space="preserve">       </t>
    </r>
    <r>
      <rPr>
        <sz val="11"/>
        <color theme="1"/>
        <rFont val="Calibri"/>
        <family val="2"/>
        <scheme val="minor"/>
      </rPr>
      <t>Se realiza un préstamo de $10.000, con una tasa de interés de 10% y un plazo de 5 periodos. Se acuerda el pago de la primera cuota antes de terminar el primer año, la segunda cuota a final del primer año y las demás al final de los años 2, 3 y 4. Si las cuotas acordadas son iguales, ¿Cuál es su valor?</t>
    </r>
  </si>
  <si>
    <t xml:space="preserve">PAGOS DIFERIDOS </t>
  </si>
  <si>
    <r>
      <t>31.</t>
    </r>
    <r>
      <rPr>
        <sz val="7"/>
        <color theme="1"/>
        <rFont val="Times New Roman"/>
        <family val="1"/>
      </rPr>
      <t> </t>
    </r>
    <r>
      <rPr>
        <sz val="11"/>
        <color theme="1"/>
        <rFont val="Calibri"/>
        <family val="2"/>
        <scheme val="minor"/>
      </rPr>
      <t>Los establecimientos comerciales ofrecen facilidades de pago y promociones a inicio de año. A finales de enero, usted desea comprar electrodomésticos y va a usar la tarjeta de crédito del establecimiento. La compra total fue de $3’000.000 y lo difiere a 12 cuotas. La tasa de interés es del 2.28% mensual. La promoción incluye que el establecimiento registra la compra en la tarjeta, pero la primera cuota se cobra a finales de abril.</t>
    </r>
  </si>
  <si>
    <r>
      <t>a.</t>
    </r>
    <r>
      <rPr>
        <sz val="7"/>
        <color theme="1"/>
        <rFont val="Times New Roman"/>
        <family val="1"/>
      </rPr>
      <t xml:space="preserve">       </t>
    </r>
    <r>
      <rPr>
        <sz val="11"/>
        <color theme="1"/>
        <rFont val="Calibri"/>
        <family val="2"/>
        <scheme val="minor"/>
      </rPr>
      <t>Calcule el valor de la cuota y los intereses pagados</t>
    </r>
  </si>
  <si>
    <t>n</t>
  </si>
  <si>
    <t>enero</t>
  </si>
  <si>
    <t>febrero</t>
  </si>
  <si>
    <t>marzo</t>
  </si>
  <si>
    <t>abril</t>
  </si>
  <si>
    <t>mayo</t>
  </si>
  <si>
    <t>junio</t>
  </si>
  <si>
    <t>julio</t>
  </si>
  <si>
    <t>agosto</t>
  </si>
  <si>
    <t>septiembre</t>
  </si>
  <si>
    <t>octubre</t>
  </si>
  <si>
    <t>noviembre</t>
  </si>
  <si>
    <t>diciembre</t>
  </si>
  <si>
    <r>
      <t>b.</t>
    </r>
    <r>
      <rPr>
        <sz val="7"/>
        <color theme="1"/>
        <rFont val="Times New Roman"/>
        <family val="1"/>
      </rPr>
      <t xml:space="preserve">       </t>
    </r>
    <r>
      <rPr>
        <sz val="11"/>
        <color theme="1"/>
        <rFont val="Calibri"/>
        <family val="2"/>
        <scheme val="minor"/>
      </rPr>
      <t>Usted decide no aceptar el cobro diferido y la primera cuota es cobrada un mes después de la compra, a finales del mes de febrero. Calcule el valor de la cuota y los intereses pagados para esta situación.</t>
    </r>
  </si>
  <si>
    <r>
      <t>c.</t>
    </r>
    <r>
      <rPr>
        <sz val="7"/>
        <color theme="1"/>
        <rFont val="Times New Roman"/>
        <family val="1"/>
      </rPr>
      <t xml:space="preserve">       </t>
    </r>
    <r>
      <rPr>
        <sz val="11"/>
        <color theme="1"/>
        <rFont val="Calibri"/>
        <family val="2"/>
        <scheme val="minor"/>
      </rPr>
      <t>Calcule la diferencia en los intereses pagados. ¿Cuáles son las ventajas y desventajas de cada opción?</t>
    </r>
  </si>
  <si>
    <t xml:space="preserve">Interés pago diferido </t>
  </si>
  <si>
    <t xml:space="preserve">Interés pago vencido </t>
  </si>
  <si>
    <t xml:space="preserve">Diferencia </t>
  </si>
  <si>
    <t>Al diferir el pago, la persona tiene mas tiempo para ahorrar el dinero suficiente para pagar las cuotas sin embargo estas son mas altas y los interéses generados también.</t>
  </si>
  <si>
    <t>En el pago vencido la cuota es menor y los interéses generados también, su desventaja es que se deben pagar mas cuotas las que se deben pagar.</t>
  </si>
  <si>
    <t xml:space="preserve">PAGOS PERPETUOS-COSTO CAPITALIZADO </t>
  </si>
  <si>
    <r>
      <rPr>
        <sz val="10"/>
        <color theme="1"/>
        <rFont val="Calibri"/>
        <family val="2"/>
        <scheme val="minor"/>
      </rPr>
      <t>34.</t>
    </r>
    <r>
      <rPr>
        <sz val="10"/>
        <color theme="1"/>
        <rFont val="Times New Roman"/>
        <family val="1"/>
      </rPr>
      <t>  </t>
    </r>
    <r>
      <rPr>
        <sz val="7"/>
        <color theme="1"/>
        <rFont val="Times New Roman"/>
        <family val="1"/>
      </rPr>
      <t xml:space="preserve">     </t>
    </r>
    <r>
      <rPr>
        <sz val="11"/>
        <color theme="1"/>
        <rFont val="Calibri"/>
        <family val="2"/>
        <scheme val="minor"/>
      </rPr>
      <t>¿Qué cantidad de dinero se necesitaría para patrocinar de manera indefinida un evento académico por $10.000.000 al año? Suponga una tasa de interés de 15% anual.</t>
    </r>
  </si>
  <si>
    <r>
      <rPr>
        <b/>
        <sz val="11"/>
        <color theme="1"/>
        <rFont val="Calibri"/>
        <family val="2"/>
        <scheme val="minor"/>
      </rPr>
      <t>Formula usada</t>
    </r>
    <r>
      <rPr>
        <sz val="11"/>
        <color theme="1"/>
        <rFont val="Calibri"/>
        <family val="2"/>
        <scheme val="minor"/>
      </rPr>
      <t xml:space="preserve"> </t>
    </r>
  </si>
  <si>
    <t xml:space="preserve">EA </t>
  </si>
  <si>
    <t>Nper</t>
  </si>
  <si>
    <t xml:space="preserve">infinito </t>
  </si>
  <si>
    <t xml:space="preserve">Valor presente </t>
  </si>
  <si>
    <t>La cantidad de dinero necesaria para patrocinar de manera indefinida el evento académico debe ser de 66'666.667</t>
  </si>
  <si>
    <t xml:space="preserve">TABLAS DE AMORTIZACIÓN </t>
  </si>
  <si>
    <t>39. Se acuerda un préstamo de $78’000.000 a 10 años con cuotas mensuales a un interés del
1,5% efectivo mensual. Evalúe las siguientes situaciones:</t>
  </si>
  <si>
    <t>a. Cuota mensual uniforme (sistema francés)</t>
  </si>
  <si>
    <t>Tasa de interés</t>
  </si>
  <si>
    <t>E.M</t>
  </si>
  <si>
    <t>meses</t>
  </si>
  <si>
    <t xml:space="preserve">Sistema Francés </t>
  </si>
  <si>
    <t xml:space="preserve">Tasa nominal anual semestral </t>
  </si>
  <si>
    <t>n(meses)</t>
  </si>
  <si>
    <t xml:space="preserve">Tasa anual </t>
  </si>
  <si>
    <t>años</t>
  </si>
  <si>
    <t>n(años)</t>
  </si>
  <si>
    <t>b. Abono constante (sistema alemán)</t>
  </si>
  <si>
    <t>Sistema alemán</t>
  </si>
  <si>
    <t>c. Se hacen abonos extraordinarios de $3’000.000 cada semestre</t>
  </si>
  <si>
    <t xml:space="preserve">Abono extraordinario </t>
  </si>
  <si>
    <t>Sistema francés</t>
  </si>
  <si>
    <t xml:space="preserve">Sistema alemán </t>
  </si>
  <si>
    <t xml:space="preserve">d. Después de 20 cuotas se renegocia el préstamo a 5 años más con una tasa de interés de 18% efectivo anual. </t>
  </si>
  <si>
    <t xml:space="preserve">suma interes </t>
  </si>
  <si>
    <t xml:space="preserve">Renegociación </t>
  </si>
  <si>
    <t xml:space="preserve">suma total </t>
  </si>
  <si>
    <t xml:space="preserve">La cuota anual después de la renegociación debe ser de 23.201.692 para saldar la deuda en 5 años. </t>
  </si>
  <si>
    <t>El abono después de la renegociación debe ser de 13.000.000, se nota que las primeras cuotas son mas altas que en el sistema francés, pero al final del compromiso son menores.</t>
  </si>
  <si>
    <t>e. En la cuota 32 se decide hacer un abono extraordinario de $10’000’000 para</t>
  </si>
  <si>
    <t>reducir el valor de la cuota mensual.</t>
  </si>
  <si>
    <t xml:space="preserve">cuota nueva </t>
  </si>
  <si>
    <t>f. ¿Podría decir cuál de las situaciones es mejor para el prestatario?</t>
  </si>
  <si>
    <t xml:space="preserve">Se podría decir que la mejor situación para el prestatario es la opción de pago del sistema alemán pues a pesar de que las cuotas son mayores al inicio terminan siendo mas bajas, adicionalmente el pago de interéses es el menor en comparación con todas las otras situación en el mismo periodo de tiempo. </t>
  </si>
  <si>
    <t>41.	El Estado de Florida vende un total de 72.2 millones en billetes de lotería, cada uno a $1 durante la primera semana de enero de 2003. Como premio, fue otorgado en dinero en efectivo un total de $41 millones que serán distribuidos durante los siguientes 21 años ($3,904,762 al inicio de cada año). La entrega del premio en efectivo del primer año ocurre al inicio del año 2003, y los ingresos restantes de la lotería son ingresados en el Fondo de Reserva del Estado para Educación que renta a una tasa de interés del 6% compuesto anualmente. Después de la entrega del último año de premio, ¿Cuánto dinero quedará en el fondo de reserva?</t>
  </si>
  <si>
    <t xml:space="preserve">Ingresos por ventas </t>
  </si>
  <si>
    <t xml:space="preserve">Numero de periodos para pagar el premio </t>
  </si>
  <si>
    <t>Premio</t>
  </si>
  <si>
    <t xml:space="preserve">Depósito </t>
  </si>
  <si>
    <t>En el año 10 se termina der pagar el premio de 41'000.000.</t>
  </si>
  <si>
    <t xml:space="preserve">En el fondo de reserva quedará 134'472.627 al finalizar los 21 años, como en los últimos 11 años no se tuvo que descontar el depósito por el pago del premio la ganancia fue mayor </t>
  </si>
  <si>
    <t xml:space="preserve">GRADIENTES LINEALES Y GEOMÉTRICOS </t>
  </si>
  <si>
    <r>
      <t>49.</t>
    </r>
    <r>
      <rPr>
        <sz val="7"/>
        <color theme="1"/>
        <rFont val="Times New Roman"/>
        <family val="1"/>
      </rPr>
      <t>  </t>
    </r>
    <r>
      <rPr>
        <sz val="11"/>
        <color theme="1"/>
        <rFont val="Calibri"/>
        <family val="2"/>
        <scheme val="minor"/>
      </rPr>
      <t>Considere una obligación financiera donde se realizan pagos trimestrales que crecen en $100.000 y actúa una tasa de interés anual del 20%. El primer pago es de $200.000 y el plazo es 3 años.</t>
    </r>
  </si>
  <si>
    <r>
      <t>a.</t>
    </r>
    <r>
      <rPr>
        <sz val="7"/>
        <color theme="1"/>
        <rFont val="Times New Roman"/>
        <family val="1"/>
      </rPr>
      <t>  </t>
    </r>
    <r>
      <rPr>
        <sz val="11"/>
        <color theme="1"/>
        <rFont val="Calibri"/>
        <family val="2"/>
        <scheme val="minor"/>
      </rPr>
      <t>Calcule la cantidad de dinero equivalente que se debe pagar si se decide a realizar un solo pago al final del plazo.</t>
    </r>
  </si>
  <si>
    <t>tasa nominal AT</t>
  </si>
  <si>
    <t>G</t>
  </si>
  <si>
    <t>n(pagos)</t>
  </si>
  <si>
    <t xml:space="preserve">Prestámo </t>
  </si>
  <si>
    <t>n(años )</t>
  </si>
  <si>
    <t xml:space="preserve">años </t>
  </si>
  <si>
    <t xml:space="preserve">Si se decide realizar un solo pago al final del plazo este debe ser de 10'864.225 </t>
  </si>
  <si>
    <r>
      <rPr>
        <sz val="7"/>
        <color theme="1"/>
        <rFont val="Calibri"/>
        <family val="2"/>
        <scheme val="minor"/>
      </rPr>
      <t>b</t>
    </r>
    <r>
      <rPr>
        <sz val="7"/>
        <color theme="1"/>
        <rFont val="Times New Roman"/>
        <family val="1"/>
      </rPr>
      <t xml:space="preserve">.       </t>
    </r>
    <r>
      <rPr>
        <sz val="11"/>
        <color theme="1"/>
        <rFont val="Calibri"/>
        <family val="2"/>
        <scheme val="minor"/>
      </rPr>
      <t>Considere que cada año la tasa de interés cobrada varía. Calcule el valor presente de la obligación teniendo en cuenta una tasa variable de la siguiente manera: 15% E.A en el primer año, 20% E.A. en el segundo año y 25%. E.A. en el tercer año.</t>
    </r>
  </si>
  <si>
    <t xml:space="preserve">Año 1 </t>
  </si>
  <si>
    <t>Año 2</t>
  </si>
  <si>
    <t xml:space="preserve">Año 3 </t>
  </si>
  <si>
    <t>Tasa interés EA</t>
  </si>
  <si>
    <t xml:space="preserve">Tasa nominal </t>
  </si>
  <si>
    <t>Tasa interés ET</t>
  </si>
  <si>
    <t>El valor presente de la obligación financiera es de 6'468.387</t>
  </si>
  <si>
    <r>
      <t>c.</t>
    </r>
    <r>
      <rPr>
        <sz val="7"/>
        <color theme="1"/>
        <rFont val="Times New Roman"/>
        <family val="1"/>
      </rPr>
      <t xml:space="preserve">       </t>
    </r>
    <r>
      <rPr>
        <sz val="11"/>
        <color theme="1"/>
        <rFont val="Calibri"/>
        <family val="2"/>
        <scheme val="minor"/>
      </rPr>
      <t>Sobre las condiciones del literal b. analice económicamente la situación en la que se decide finalizar la obligación financiera al término del segundo año.</t>
    </r>
  </si>
  <si>
    <t>El valor presente de la obligación financiera debe bajar a 3'580.932 para finalizarla al término del segundo año con las tasas variando como en el literal b.</t>
  </si>
  <si>
    <t xml:space="preserve">Cuota nueva </t>
  </si>
  <si>
    <t>Si se decide finalizar la obligación al término del segundo año la primera cueta debe aumentar a 611.512, terminar la obligación un año antes genera un ahorro en el pago de interéses, ya que la tasa del último año es mayor.</t>
  </si>
  <si>
    <t>Financieramente hablando se puede decir que la cuota esta aumentando pero económicamente la cantidad de intereses disminuye, lo que significa que mas dinero de dicha cuota se esta abonando,dejandolo en equilibrio.</t>
  </si>
  <si>
    <t xml:space="preserve">Interéses totales </t>
  </si>
  <si>
    <t>A pesar de que la formula se calculó con la formula de gradiente lineal decreciente, esta no se redujó con el tiempo debido a que compensó el  aumento de la tasa de interés.</t>
  </si>
  <si>
    <t>Si la cuota decrece 2% mientras que la tasa de interés aumenta también 2%, el dinero gastado en interéses es de 14'409.013</t>
  </si>
  <si>
    <t xml:space="preserve">Cuota inicial </t>
  </si>
  <si>
    <r>
      <t>c.</t>
    </r>
    <r>
      <rPr>
        <sz val="7"/>
        <color theme="1"/>
        <rFont val="Times New Roman"/>
        <family val="1"/>
      </rPr>
      <t xml:space="preserve">       </t>
    </r>
    <r>
      <rPr>
        <sz val="11"/>
        <color theme="1"/>
        <rFont val="Calibri"/>
        <family val="2"/>
        <scheme val="minor"/>
      </rPr>
      <t>¿La cuota decreciente compensa la tasa de interés creciente? Analice económica y financieramente.</t>
    </r>
  </si>
  <si>
    <t>Si la cuota se reduce 5% mientras la tasa de interés aumenta 2 puntos porcentuales, la cantidad de dinero pagado en interéses es de 13'271.083.</t>
  </si>
  <si>
    <t xml:space="preserve">J </t>
  </si>
  <si>
    <r>
      <t>b.</t>
    </r>
    <r>
      <rPr>
        <sz val="7"/>
        <color theme="1"/>
        <rFont val="Times New Roman"/>
        <family val="1"/>
      </rPr>
      <t xml:space="preserve">       </t>
    </r>
    <r>
      <rPr>
        <sz val="11"/>
        <color theme="1"/>
        <rFont val="Calibri"/>
        <family val="2"/>
        <scheme val="minor"/>
      </rPr>
      <t>Calcule la cantidad de dinero pagada en intereses si la tasa de interés aumenta en 2 puntos porcentuales cada año.</t>
    </r>
  </si>
  <si>
    <t>La cantidad de dinero pagado en interéses por el prestámo de 100'000.000  es de 14.912.979 teniendo en cuenta que las cuotas se reducen 5%</t>
  </si>
  <si>
    <r>
      <t>a.</t>
    </r>
    <r>
      <rPr>
        <sz val="7"/>
        <color theme="1"/>
        <rFont val="Times New Roman"/>
        <family val="1"/>
      </rPr>
      <t xml:space="preserve">       </t>
    </r>
    <r>
      <rPr>
        <sz val="11"/>
        <color theme="1"/>
        <rFont val="Calibri"/>
        <family val="2"/>
        <scheme val="minor"/>
      </rPr>
      <t>Calcule la cantidad de dinero pagada en intereses.</t>
    </r>
  </si>
  <si>
    <r>
      <t>51.</t>
    </r>
    <r>
      <rPr>
        <sz val="7"/>
        <color theme="1"/>
        <rFont val="Times New Roman"/>
        <family val="1"/>
      </rPr>
      <t xml:space="preserve">       </t>
    </r>
    <r>
      <rPr>
        <sz val="11"/>
        <color theme="1"/>
        <rFont val="Calibri"/>
        <family val="2"/>
        <scheme val="minor"/>
      </rPr>
      <t>Se prestan $100.000.000 por 5 años. El préstamo se regresa por medio de cuotas mensuales que se reducen 5%.</t>
    </r>
  </si>
  <si>
    <t xml:space="preserve">Adicionalmente se tiene el riesgo de que la utilidad no aumente el porcentaje esperado y el faltante para realizar el pago completo de los dividendos sea mayor de lo que ya es. </t>
  </si>
  <si>
    <t xml:space="preserve">Suma de los dividendos </t>
  </si>
  <si>
    <t>No es posible pagar los dividendos de los 6 años al final del año 2018 pues el valor presente de la suma de estos es mayor a la utilidad neta esperada en el 2018</t>
  </si>
  <si>
    <t>Dividendos</t>
  </si>
  <si>
    <t xml:space="preserve">Tasa de inflación </t>
  </si>
  <si>
    <t>b.	Se está considerando si es posible pagar el valor equivalente de los dividendos de esos 6 años al final del año 2018 ¿Esto es posible? ¿Cuáles son los riesgos de esta decisión?</t>
  </si>
  <si>
    <t>Dividendos 2023</t>
  </si>
  <si>
    <t>Dividendos 2022</t>
  </si>
  <si>
    <t>Dividendos 2021</t>
  </si>
  <si>
    <t>Dividendos 2020</t>
  </si>
  <si>
    <t>Dividendos 2019</t>
  </si>
  <si>
    <t>Dividendos 2018</t>
  </si>
  <si>
    <t xml:space="preserve">Utilidad </t>
  </si>
  <si>
    <t xml:space="preserve">Utilidad 2017 </t>
  </si>
  <si>
    <r>
      <t>a.</t>
    </r>
    <r>
      <rPr>
        <sz val="7"/>
        <color theme="1"/>
        <rFont val="Times New Roman"/>
        <family val="1"/>
      </rPr>
      <t xml:space="preserve">       </t>
    </r>
    <r>
      <rPr>
        <sz val="11"/>
        <color theme="1"/>
        <rFont val="Calibri"/>
        <family val="2"/>
        <scheme val="minor"/>
      </rPr>
      <t>Calcule el valor presente de los dividendos pagados. Suponga que la tasa de inflación del año 2018 es 5% y que esta aumenta 1 punto porcentual los siguientes años.</t>
    </r>
  </si>
  <si>
    <r>
      <t>56.</t>
    </r>
    <r>
      <rPr>
        <sz val="7"/>
        <color theme="1"/>
        <rFont val="Times New Roman"/>
        <family val="1"/>
      </rPr>
      <t xml:space="preserve">       </t>
    </r>
    <r>
      <rPr>
        <sz val="11"/>
        <color theme="1"/>
        <rFont val="Calibri"/>
        <family val="2"/>
        <scheme val="minor"/>
      </rPr>
      <t>La utilidad neta de una empresa en el año 2017 fue $200.000.000. Se espera que esta ganancia aumente 10% cada año. Entre los años 2018 y 2023, se decide que el 20% de las utilidades del año inmediatamente anterior se repartirán como dividendos a los accionistas en pagos mensuales constantes en el año.</t>
    </r>
  </si>
  <si>
    <t>La cantidad de dinero acumulado en el futuro para la inversión de 20.000 es de 30.073</t>
  </si>
  <si>
    <t xml:space="preserve">Con valor futuro </t>
  </si>
  <si>
    <t>n (años)</t>
  </si>
  <si>
    <t xml:space="preserve">Inversión </t>
  </si>
  <si>
    <r>
      <t>d.</t>
    </r>
    <r>
      <rPr>
        <sz val="7"/>
        <color theme="1"/>
        <rFont val="Times New Roman"/>
        <family val="1"/>
      </rPr>
      <t xml:space="preserve">       </t>
    </r>
    <r>
      <rPr>
        <sz val="11"/>
        <color theme="1"/>
        <rFont val="Calibri"/>
        <family val="2"/>
        <scheme val="minor"/>
      </rPr>
      <t>$20.000 en 7 años al 6% de interés compuesto anualmente</t>
    </r>
  </si>
  <si>
    <t>La cantidad de dinero acumulado en el futuro para la inversión de 5.000 es de 40.726</t>
  </si>
  <si>
    <r>
      <t>c.</t>
    </r>
    <r>
      <rPr>
        <sz val="7"/>
        <color theme="1"/>
        <rFont val="Times New Roman"/>
        <family val="1"/>
      </rPr>
      <t xml:space="preserve">       </t>
    </r>
    <r>
      <rPr>
        <sz val="11"/>
        <color theme="1"/>
        <rFont val="Calibri"/>
        <family val="2"/>
        <scheme val="minor"/>
      </rPr>
      <t>$5.000 en 31 años al 7% de interés compuesto anualmente</t>
    </r>
  </si>
  <si>
    <t>La cantidad de dinero acumulado en el futuro para la inversión de 1,250 es de 2.001</t>
  </si>
  <si>
    <r>
      <t>b.</t>
    </r>
    <r>
      <rPr>
        <sz val="7"/>
        <color theme="1"/>
        <rFont val="Times New Roman"/>
        <family val="1"/>
      </rPr>
      <t xml:space="preserve">       </t>
    </r>
    <r>
      <rPr>
        <sz val="11"/>
        <color theme="1"/>
        <rFont val="Calibri"/>
        <family val="2"/>
        <scheme val="minor"/>
      </rPr>
      <t>$1.250 en 12 años al 4% de interés compuesto anualmente</t>
    </r>
  </si>
  <si>
    <t>La cantidad de dinero acumulado en el futuro para la inversión de 7000 es de 13.948</t>
  </si>
  <si>
    <r>
      <t>a.</t>
    </r>
    <r>
      <rPr>
        <sz val="7"/>
        <color theme="1"/>
        <rFont val="Times New Roman"/>
        <family val="1"/>
      </rPr>
      <t xml:space="preserve">       </t>
    </r>
    <r>
      <rPr>
        <sz val="11"/>
        <color theme="1"/>
        <rFont val="Calibri"/>
        <family val="2"/>
        <scheme val="minor"/>
      </rPr>
      <t>$7.000 en 8 años al 9% de interés compuesto anualmente</t>
    </r>
  </si>
  <si>
    <r>
      <t>59.</t>
    </r>
    <r>
      <rPr>
        <sz val="7"/>
        <color theme="1"/>
        <rFont val="Times New Roman"/>
        <family val="1"/>
      </rPr>
      <t xml:space="preserve">       </t>
    </r>
    <r>
      <rPr>
        <sz val="11"/>
        <color theme="1"/>
        <rFont val="Calibri"/>
        <family val="2"/>
        <scheme val="minor"/>
      </rPr>
      <t>¿Cuál será la cantidad de dinero acumulada en el futuro para cada una de las siguientes inversiones?</t>
    </r>
  </si>
  <si>
    <r>
      <t xml:space="preserve">Se halla que el valor presente del flujo es igual a </t>
    </r>
    <r>
      <rPr>
        <b/>
        <sz val="11"/>
        <color theme="1"/>
        <rFont val="Calibri"/>
        <family val="2"/>
        <scheme val="minor"/>
      </rPr>
      <t xml:space="preserve">-0,96; </t>
    </r>
    <r>
      <rPr>
        <sz val="11"/>
        <color theme="1"/>
        <rFont val="Calibri"/>
        <family val="2"/>
        <scheme val="minor"/>
      </rPr>
      <t xml:space="preserve"> la cual es la suma de los valores presentes del flujo en cada periodo</t>
    </r>
  </si>
  <si>
    <r>
      <t>60.</t>
    </r>
    <r>
      <rPr>
        <sz val="7"/>
        <color theme="1"/>
        <rFont val="Times New Roman"/>
        <family val="1"/>
      </rPr>
      <t xml:space="preserve">       </t>
    </r>
    <r>
      <rPr>
        <sz val="11"/>
        <color theme="1"/>
        <rFont val="Calibri"/>
        <family val="2"/>
        <scheme val="minor"/>
      </rPr>
      <t>¿Cuál es el valor presente de los siguientes pagos futuros?</t>
    </r>
  </si>
  <si>
    <r>
      <t>a.</t>
    </r>
    <r>
      <rPr>
        <sz val="7"/>
        <color theme="1"/>
        <rFont val="Times New Roman"/>
        <family val="1"/>
      </rPr>
      <t xml:space="preserve">       </t>
    </r>
    <r>
      <rPr>
        <sz val="11"/>
        <color theme="1"/>
        <rFont val="Calibri"/>
        <family val="2"/>
        <scheme val="minor"/>
      </rPr>
      <t>$4.500 en 6 años al 7% de interés compuesto anualmente</t>
    </r>
  </si>
  <si>
    <t xml:space="preserve">valor presente </t>
  </si>
  <si>
    <r>
      <t>b.</t>
    </r>
    <r>
      <rPr>
        <sz val="7"/>
        <color theme="1"/>
        <rFont val="Times New Roman"/>
        <family val="1"/>
      </rPr>
      <t xml:space="preserve">       </t>
    </r>
    <r>
      <rPr>
        <sz val="11"/>
        <color theme="1"/>
        <rFont val="Calibri"/>
        <family val="2"/>
        <scheme val="minor"/>
      </rPr>
      <t>$6.000 en 15 años al 8% de interés compuesto anualmente</t>
    </r>
  </si>
  <si>
    <r>
      <t>c.</t>
    </r>
    <r>
      <rPr>
        <sz val="7"/>
        <color theme="1"/>
        <rFont val="Times New Roman"/>
        <family val="1"/>
      </rPr>
      <t xml:space="preserve">       </t>
    </r>
    <r>
      <rPr>
        <sz val="11"/>
        <color theme="1"/>
        <rFont val="Calibri"/>
        <family val="2"/>
        <scheme val="minor"/>
      </rPr>
      <t>$20.000 en 5 años al 9% de interés compuesto anualmente</t>
    </r>
  </si>
  <si>
    <r>
      <t>d.</t>
    </r>
    <r>
      <rPr>
        <sz val="7"/>
        <color theme="1"/>
        <rFont val="Times New Roman"/>
        <family val="1"/>
      </rPr>
      <t xml:space="preserve">       </t>
    </r>
    <r>
      <rPr>
        <sz val="11"/>
        <color theme="1"/>
        <rFont val="Calibri"/>
        <family val="2"/>
        <scheme val="minor"/>
      </rPr>
      <t>$12.000 en 8 años al 10% de interés compuesto anualmente</t>
    </r>
  </si>
  <si>
    <r>
      <t>64.</t>
    </r>
    <r>
      <rPr>
        <sz val="7"/>
        <color theme="1"/>
        <rFont val="Times New Roman"/>
        <family val="1"/>
      </rPr>
      <t xml:space="preserve">       </t>
    </r>
    <r>
      <rPr>
        <sz val="11"/>
        <color theme="1"/>
        <rFont val="Calibri"/>
        <family val="2"/>
        <scheme val="minor"/>
      </rPr>
      <t>Se quiere adquirir un automóvil que cuesta $60.000.000 (incluye impuestos y otros gastos) y se espera sea usado por 42 meses. Para esto se evalúan 3 diferentes opciones de compra:</t>
    </r>
  </si>
  <si>
    <r>
      <t>a.</t>
    </r>
    <r>
      <rPr>
        <sz val="7"/>
        <color theme="1"/>
        <rFont val="Times New Roman"/>
        <family val="1"/>
      </rPr>
      <t xml:space="preserve">       </t>
    </r>
    <r>
      <rPr>
        <sz val="11"/>
        <color theme="1"/>
        <rFont val="Calibri"/>
        <family val="2"/>
        <scheme val="minor"/>
      </rPr>
      <t>Compra directa: se paga el valor total del auto inmediatamente con un descuento del 5% y una deducción de otros gastos de $700.000</t>
    </r>
  </si>
  <si>
    <t xml:space="preserve">Valor total auto </t>
  </si>
  <si>
    <t xml:space="preserve">Descuento </t>
  </si>
  <si>
    <t>Deducción de gastos</t>
  </si>
  <si>
    <t xml:space="preserve">Pago por el auto </t>
  </si>
  <si>
    <r>
      <t>b.</t>
    </r>
    <r>
      <rPr>
        <sz val="7"/>
        <color theme="1"/>
        <rFont val="Times New Roman"/>
        <family val="1"/>
      </rPr>
      <t xml:space="preserve">       </t>
    </r>
    <r>
      <rPr>
        <sz val="11"/>
        <color theme="1"/>
        <rFont val="Calibri"/>
        <family val="2"/>
        <scheme val="minor"/>
      </rPr>
      <t>Compra financiada: Se adquiere un préstamo a 42 meses con una cuota inicial (</t>
    </r>
    <r>
      <rPr>
        <i/>
        <sz val="11"/>
        <color theme="1"/>
        <rFont val="Calibri"/>
        <family val="2"/>
        <scheme val="minor"/>
      </rPr>
      <t>down payment</t>
    </r>
    <r>
      <rPr>
        <sz val="11"/>
        <color theme="1"/>
        <rFont val="Calibri"/>
        <family val="2"/>
        <scheme val="minor"/>
      </rPr>
      <t>) de $9.000.000 y una tasa de interés anual compuesta mensualmente de 13%.</t>
    </r>
  </si>
  <si>
    <t xml:space="preserve">Tasa nominal anual mensual </t>
  </si>
  <si>
    <t xml:space="preserve">Tasa efectiva mensual </t>
  </si>
  <si>
    <t xml:space="preserve">cuota </t>
  </si>
  <si>
    <t>suma total de interéses</t>
  </si>
  <si>
    <r>
      <t>c.</t>
    </r>
    <r>
      <rPr>
        <sz val="7"/>
        <color theme="1"/>
        <rFont val="Times New Roman"/>
        <family val="1"/>
      </rPr>
      <t xml:space="preserve">       </t>
    </r>
    <r>
      <rPr>
        <sz val="11"/>
        <color theme="1"/>
        <rFont val="Calibri"/>
        <family val="2"/>
        <scheme val="minor"/>
      </rPr>
      <t>Arrendamiento con opción de compra: se cobra una cuota mensual de $1.000.000 que cubre el uso del auto máximo por 90.000 Km cada mes, por cada km adicional se deben pagar $500 adicionales. Al final de los 42 meses si se desea devolver el automóvil se debe hacer un depósito de $600.000.</t>
    </r>
  </si>
  <si>
    <t xml:space="preserve">mensual </t>
  </si>
  <si>
    <t>Tenga en cuenta que después de 42 meses el auto tiene un valor de mercado de $25.000.000. Además, el dinero usado para comprar el auto hubiera podido ser invertido a una tasa de 7% trimestral compuesta mensualmente ¿Cuál es la mejor forma de adquirir el automóvil?</t>
  </si>
  <si>
    <t>Si se invierte el dinero usado para la compara del automóvil a una tasa de 7% trimestral compuesta mensualmente, la ganancia al final del periodo es:</t>
  </si>
  <si>
    <t xml:space="preserve">Tasa nominal trimestral mensual </t>
  </si>
  <si>
    <t xml:space="preserve">Tasa mensual </t>
  </si>
  <si>
    <t>Como el valor futuro de invertir 60'000.000 con una tasa efectiva mensual del 2% es de 158'077.596, puede no solo comprar el carro a un precio más bajo (25'000.000) después de los 42 meses, si no también puede cubrir los gastos generados durante el periodo de arrendamiento,adicionalmente no tendría que pagarse el depósito por la devolución,por esta razón la forma de arrendamiento con opción de compra es la mejor para adquirir el automóvil.</t>
  </si>
  <si>
    <t xml:space="preserve">CÁLCULOS CON INTERÉS E INFLACIÓN </t>
  </si>
  <si>
    <r>
      <t>67.</t>
    </r>
    <r>
      <rPr>
        <sz val="7"/>
        <color theme="1"/>
        <rFont val="Times New Roman"/>
        <family val="1"/>
      </rPr>
      <t xml:space="preserve">       </t>
    </r>
    <r>
      <rPr>
        <sz val="11"/>
        <color theme="1"/>
        <rFont val="Calibri"/>
        <family val="2"/>
        <scheme val="minor"/>
      </rPr>
      <t>Un inversionista realiza una inversión de $20’000.000 durante 6 meses a una tasa de interés del 2% mensual. La inflación de los 3 primeros meses fue en promedio de 1.5% mensual y en los siguientes 3 meses del 2% mensual. Calcular:</t>
    </r>
  </si>
  <si>
    <r>
      <t>a.</t>
    </r>
    <r>
      <rPr>
        <sz val="7"/>
        <color theme="1"/>
        <rFont val="Times New Roman"/>
        <family val="1"/>
      </rPr>
      <t xml:space="preserve">       </t>
    </r>
    <r>
      <rPr>
        <sz val="11"/>
        <color theme="1"/>
        <rFont val="Calibri"/>
        <family val="2"/>
        <scheme val="minor"/>
      </rPr>
      <t>Calcular el rendimiento real</t>
    </r>
  </si>
  <si>
    <t>mensual</t>
  </si>
  <si>
    <t xml:space="preserve">Tasa real </t>
  </si>
  <si>
    <t xml:space="preserve">Capital real </t>
  </si>
  <si>
    <t>El inversionista tuvo una ganancia económica de 297.024, este valor se debe a que el dinero generado por los intereses disminuyó por la tasa de inflación durante los periodos, como en los últimos tres meses la tasa de inflación fue igual a la tasa de interés no hubo una ganancia  durante ese periodo.</t>
  </si>
  <si>
    <t xml:space="preserve">Ganancia monetaria </t>
  </si>
  <si>
    <t xml:space="preserve">Ganancia económica </t>
  </si>
  <si>
    <t xml:space="preserve">Ilusión monetaria </t>
  </si>
  <si>
    <t>b.	¿Qué sucede si la tasa de inflación promedio mensual del último trimestre llegó al 3,5%?</t>
  </si>
  <si>
    <t xml:space="preserve">Si la tasa de inflación en los últimos 3 meses aumenta al 3,5% el inversionista perdería dinero pues lo generado con los interéses no es suficiente para cubrir el aumento por la inflación </t>
  </si>
  <si>
    <t xml:space="preserve">Pérdida económica </t>
  </si>
  <si>
    <t xml:space="preserve">Pérdida de dinero </t>
  </si>
  <si>
    <t xml:space="preserve">Formula usada </t>
  </si>
  <si>
    <r>
      <t>b.</t>
    </r>
    <r>
      <rPr>
        <sz val="7"/>
        <color theme="1"/>
        <rFont val="Times New Roman"/>
        <family val="1"/>
      </rPr>
      <t xml:space="preserve">       </t>
    </r>
    <r>
      <rPr>
        <sz val="11"/>
        <color theme="1"/>
        <rFont val="Calibri"/>
        <family val="2"/>
        <scheme val="minor"/>
      </rPr>
      <t>Pérdida de dinero, expresada como tasa de interés</t>
    </r>
  </si>
  <si>
    <t xml:space="preserve">Perdida </t>
  </si>
  <si>
    <t xml:space="preserve"> Hubo una pérdida económica de 279.572  al no haber un interés que permita que el pago sea equivalente al prestámo teniendo en cuenta la variación de la inflación.</t>
  </si>
  <si>
    <t>Como la inflación aumenta pero no se cobran intereses cuando el prestatario devuelva los 5'000.000 el valor presente sera igual a 4'720.428.</t>
  </si>
  <si>
    <r>
      <t>a.</t>
    </r>
    <r>
      <rPr>
        <sz val="7"/>
        <color theme="1"/>
        <rFont val="Times New Roman"/>
        <family val="1"/>
      </rPr>
      <t xml:space="preserve">       </t>
    </r>
    <r>
      <rPr>
        <sz val="11"/>
        <color theme="1"/>
        <rFont val="Calibri"/>
        <family val="2"/>
        <scheme val="minor"/>
      </rPr>
      <t>Valor real pagado</t>
    </r>
  </si>
  <si>
    <r>
      <t>68.</t>
    </r>
    <r>
      <rPr>
        <sz val="7"/>
        <color theme="1"/>
        <rFont val="Times New Roman"/>
        <family val="1"/>
      </rPr>
      <t xml:space="preserve">       </t>
    </r>
    <r>
      <rPr>
        <sz val="11"/>
        <color theme="1"/>
        <rFont val="Calibri"/>
        <family val="2"/>
        <scheme val="minor"/>
      </rPr>
      <t>Usted presta $5’000.000 por 4 meses, sin interés. Las tasas de inflación de los 4 meses fueron, 0,9%, 1,2%, 2,2% y 1,5% respectivamente. Calcular:</t>
    </r>
  </si>
  <si>
    <t xml:space="preserve">Interes </t>
  </si>
  <si>
    <r>
      <t>d.</t>
    </r>
    <r>
      <rPr>
        <sz val="7"/>
        <color theme="1"/>
        <rFont val="Times New Roman"/>
        <family val="1"/>
      </rPr>
      <t xml:space="preserve">       </t>
    </r>
    <r>
      <rPr>
        <sz val="11"/>
        <color theme="1"/>
        <rFont val="Calibri"/>
        <family val="2"/>
        <scheme val="minor"/>
      </rPr>
      <t>Suponga que la propuesta es aprobada hoy con la tasa de rendimiento promedio del mercado (6.5%). Se desea saber qué tan importantes son los aportes hechos por el gobierno en relación con la tasa de inflación después de 65 años. Se espera, según las proyecciones,</t>
    </r>
    <r>
      <rPr>
        <vertAlign val="superscript"/>
        <sz val="11"/>
        <color theme="1"/>
        <rFont val="Calibri"/>
        <family val="2"/>
        <scheme val="minor"/>
      </rPr>
      <t>[1]</t>
    </r>
    <r>
      <rPr>
        <sz val="11"/>
        <color theme="1"/>
        <rFont val="Calibri"/>
        <family val="2"/>
        <scheme val="minor"/>
      </rPr>
      <t xml:space="preserve"> que la inflación del país los primeros 10 años sea en promedio de 3.5%, los siguientes 10 años de 4%, los siguientes 20 años de 7% y los 25 años de 8%. ¿Cuántos años puede vivir como pensionado una persona nacida hoy, si desea que desde momento de pensionarse le desembolsen mensualmente 4 SMLV (Salarios mínimos Legales Vigentes) de su fondo?</t>
    </r>
    <r>
      <rPr>
        <vertAlign val="superscript"/>
        <sz val="11"/>
        <color theme="1"/>
        <rFont val="Calibri"/>
        <family val="2"/>
        <scheme val="minor"/>
      </rPr>
      <t>[2]</t>
    </r>
  </si>
  <si>
    <t xml:space="preserve">Si tiene sentido ecónomico la propuesta siempre y cuando la inflación del pais sea menor o igual a las tasas de interés propuestas (6,5% o 9,4%),sin embargo como esto no se puede asegurar y debende de factores externos una mejor propuesta sería que el dinero capitalizara con la tasa de inflación en cada periodo y no con una tasa de interés fija. </t>
  </si>
  <si>
    <r>
      <t>c.</t>
    </r>
    <r>
      <rPr>
        <sz val="7"/>
        <color theme="1"/>
        <rFont val="Times New Roman"/>
        <family val="1"/>
      </rPr>
      <t xml:space="preserve">       </t>
    </r>
    <r>
      <rPr>
        <sz val="11"/>
        <color theme="1"/>
        <rFont val="Calibri"/>
        <family val="2"/>
        <scheme val="minor"/>
      </rPr>
      <t>¿Tiene sentido económico esta propuesta? ¿Podría proponer algo mejor?</t>
    </r>
  </si>
  <si>
    <t>Para que el dinero no pierda su valor económico la inflación del país durante ese periodo debe ser igual o menor a la tasa de interés, si es menor no solo no perdería su valor económico si no que tendría una ganancia.</t>
  </si>
  <si>
    <t>b.	¿Cómo debe ser la inflación del país respecto a las tasas de interés mostradas para que ese dinero no pierda su valor económico en el tiempo?</t>
  </si>
  <si>
    <t xml:space="preserve">Las cifras dadas si corresponden con lo encontrado al realizar las tablas </t>
  </si>
  <si>
    <t>a. Verifique las cifras mencionadas con cálculos</t>
  </si>
  <si>
    <t xml:space="preserve">70.	Dada la crisis pensional en el mundo, en varios países se ha hecho la propuesta de dar a cada niño nacido una cantidad dinero, de tal manera que rente en el sistema financiero hasta el día de su jubilación. Suponga que se crea una cuenta de inversión por cada niño nacido donde se depositan $2.000.000 al momento de su nacimiento, seguido de cinco contribuciones anuales de $1.000.000 cada una. Si el dinero es dejado asegurado en la cuenta, se dice que para el momento en que el bebé alcance la edad de 65, los $7.000.000 de contribución habrían crecido a $368.978.024,12 aún con el retorno promedio de una cuenta de inversión (considere una tasa de 6.5% efectiva anual). Con una tasa de 9.4%, la cifra podría crecer hasta $2.000.000.000 </t>
  </si>
  <si>
    <r>
      <rPr>
        <sz val="18"/>
        <color theme="1"/>
        <rFont val="Calibri"/>
        <family val="2"/>
        <scheme val="minor"/>
      </rPr>
      <t>GRADIENTE ESCALONADO</t>
    </r>
    <r>
      <rPr>
        <sz val="11"/>
        <color theme="1"/>
        <rFont val="Calibri"/>
        <family val="2"/>
        <scheme val="minor"/>
      </rPr>
      <t xml:space="preserve"> </t>
    </r>
  </si>
  <si>
    <r>
      <t>55.</t>
    </r>
    <r>
      <rPr>
        <sz val="7"/>
        <color theme="1"/>
        <rFont val="Times New Roman"/>
        <family val="1"/>
      </rPr>
      <t xml:space="preserve">       </t>
    </r>
    <r>
      <rPr>
        <sz val="11"/>
        <color theme="1"/>
        <rFont val="Calibri"/>
        <family val="2"/>
        <scheme val="minor"/>
      </rPr>
      <t>Un crédito por un valor de $45’000.000 se financió a una tasa de interés del 2.0% mensual por medio de 60 cuotas mensuales que crecen 3.0% cada mes. Pagada la cuota 24, se hace un pago extraordinario de $5.000.000 y se decide pagar el saldo en cuatro años con cuotas mensuales iguales que aumentan un 6% al final del año. Calcule el valor de las nuevas cuotas.</t>
    </r>
  </si>
  <si>
    <t xml:space="preserve">Crédito </t>
  </si>
  <si>
    <t xml:space="preserve">tasa </t>
  </si>
  <si>
    <t>J</t>
  </si>
  <si>
    <t xml:space="preserve">Nueva cuota </t>
  </si>
  <si>
    <t xml:space="preserve">TASAS EFECTIVAS Y NOMINALES </t>
  </si>
  <si>
    <r>
      <t>58.</t>
    </r>
    <r>
      <rPr>
        <sz val="7"/>
        <color theme="1"/>
        <rFont val="Times New Roman"/>
        <family val="1"/>
      </rPr>
      <t xml:space="preserve">       </t>
    </r>
    <r>
      <rPr>
        <sz val="11"/>
        <color theme="1"/>
        <rFont val="Calibri"/>
        <family val="2"/>
        <scheme val="minor"/>
      </rPr>
      <t>Con base en las siguientes tasas de interés nominales anuales y las fechas de negociación, calcular la tasa de interés efectiva y el número de periodos de las siguientes condiciones:</t>
    </r>
  </si>
  <si>
    <r>
      <t>a.</t>
    </r>
    <r>
      <rPr>
        <sz val="7"/>
        <color theme="1"/>
        <rFont val="Times New Roman"/>
        <family val="1"/>
      </rPr>
      <t xml:space="preserve">       </t>
    </r>
    <r>
      <rPr>
        <sz val="11"/>
        <color theme="1"/>
        <rFont val="Calibri"/>
        <family val="2"/>
        <scheme val="minor"/>
      </rPr>
      <t>Tasa de interés de 20% convertible semestral entre el 1 de enero de 2012 y 30 de junio de 2018</t>
    </r>
  </si>
  <si>
    <r>
      <t>b.</t>
    </r>
    <r>
      <rPr>
        <sz val="7"/>
        <color theme="1"/>
        <rFont val="Times New Roman"/>
        <family val="1"/>
      </rPr>
      <t xml:space="preserve">       </t>
    </r>
    <r>
      <rPr>
        <sz val="11"/>
        <color theme="1"/>
        <rFont val="Calibri"/>
        <family val="2"/>
        <scheme val="minor"/>
      </rPr>
      <t>Tasa de interés de 16% convertible trimestral entre el 15 de abril de 2001 y el 15 de enero de 2008</t>
    </r>
  </si>
  <si>
    <r>
      <t>c.</t>
    </r>
    <r>
      <rPr>
        <sz val="7"/>
        <color theme="1"/>
        <rFont val="Times New Roman"/>
        <family val="1"/>
      </rPr>
      <t xml:space="preserve">       </t>
    </r>
    <r>
      <rPr>
        <sz val="11"/>
        <color theme="1"/>
        <rFont val="Calibri"/>
        <family val="2"/>
        <scheme val="minor"/>
      </rPr>
      <t>Tasa de interés de 23% convertible mensual entre el 20 de julio de 2000 y el 20 de agosto de 2005</t>
    </r>
  </si>
  <si>
    <r>
      <t>d.</t>
    </r>
    <r>
      <rPr>
        <sz val="7"/>
        <color theme="1"/>
        <rFont val="Times New Roman"/>
        <family val="1"/>
      </rPr>
      <t xml:space="preserve">       </t>
    </r>
    <r>
      <rPr>
        <sz val="11"/>
        <color theme="1"/>
        <rFont val="Calibri"/>
        <family val="2"/>
        <scheme val="minor"/>
      </rPr>
      <t>Tasa de interés de 33% convertible diario entre el 1 de febrero de 2016 y el 30 de diciembre de 2017</t>
    </r>
  </si>
  <si>
    <r>
      <t>e.</t>
    </r>
    <r>
      <rPr>
        <sz val="7"/>
        <color theme="1"/>
        <rFont val="Times New Roman"/>
        <family val="1"/>
      </rPr>
      <t xml:space="preserve">       </t>
    </r>
    <r>
      <rPr>
        <sz val="11"/>
        <color theme="1"/>
        <rFont val="Calibri"/>
        <family val="2"/>
        <scheme val="minor"/>
      </rPr>
      <t>Tasa de interés de 10% convertible bimestral entre el 12 de enero de 2011 y el 12 de agosto de 2018.</t>
    </r>
  </si>
  <si>
    <r>
      <t>f.</t>
    </r>
    <r>
      <rPr>
        <sz val="7"/>
        <color theme="1"/>
        <rFont val="Times New Roman"/>
        <family val="1"/>
      </rPr>
      <t xml:space="preserve">       </t>
    </r>
    <r>
      <rPr>
        <sz val="11"/>
        <color theme="1"/>
        <rFont val="Calibri"/>
        <family val="2"/>
        <scheme val="minor"/>
      </rPr>
      <t>Tasa de interés de 18% convertible cuatrimestralmente entre el 5 de mayo de 2015 y el 5 de septiembre de 2018</t>
    </r>
  </si>
  <si>
    <t xml:space="preserve">Tasa Nominal </t>
  </si>
  <si>
    <t xml:space="preserve">Tasa efectiva </t>
  </si>
  <si>
    <t xml:space="preserve">Periodos </t>
  </si>
  <si>
    <t xml:space="preserve">Anual  Semestral </t>
  </si>
  <si>
    <t xml:space="preserve">Semestral </t>
  </si>
  <si>
    <t xml:space="preserve">Anual Trimestral </t>
  </si>
  <si>
    <t xml:space="preserve">Trimestral </t>
  </si>
  <si>
    <t xml:space="preserve">Anual Mensual </t>
  </si>
  <si>
    <t xml:space="preserve">Mensual </t>
  </si>
  <si>
    <t xml:space="preserve">Anual Diaria </t>
  </si>
  <si>
    <t xml:space="preserve">Diaria </t>
  </si>
  <si>
    <t xml:space="preserve">Anual Bimestral </t>
  </si>
  <si>
    <t>Bimestral</t>
  </si>
  <si>
    <t>Anual Cuatrimestral</t>
  </si>
  <si>
    <t xml:space="preserve">Cuatrimestral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</si>
</sst>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 #,##0;[Red]\-&quot;$&quot;\ #,##0"/>
    <numFmt numFmtId="8" formatCode="&quot;$&quot;\ #,##0.00;[Red]\-&quot;$&quot;\ #,##0.00"/>
    <numFmt numFmtId="41" formatCode="_-* #,##0_-;\-* #,##0_-;_-* &quot;-&quot;_-;_-@_-"/>
    <numFmt numFmtId="43" formatCode="_-* #,##0.00_-;\-* #,##0.00_-;_-* &quot;-&quot;??_-;_-@_-"/>
    <numFmt numFmtId="164" formatCode="_-* #,##0.00_-;\-* #,##0.00_-;_-* &quot;-&quot;_-;_-@_-"/>
    <numFmt numFmtId="165" formatCode="_-* #,##0_-;\-* #,##0_-;_-* &quot;-&quot;??_-;_-@_-"/>
    <numFmt numFmtId="166" formatCode="0.0%"/>
    <numFmt numFmtId="167" formatCode="0.0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
      <b/>
      <sz val="18"/>
      <color theme="1"/>
      <name val="Calibri"/>
      <family val="2"/>
      <scheme val="minor"/>
    </font>
    <font>
      <sz val="8"/>
      <color theme="1"/>
      <name val="Calibri"/>
      <family val="2"/>
      <scheme val="minor"/>
    </font>
    <font>
      <sz val="9"/>
      <color theme="1"/>
      <name val="Calibri"/>
      <family val="2"/>
      <scheme val="minor"/>
    </font>
    <font>
      <sz val="11"/>
      <color theme="1"/>
      <name val="Calibri"/>
      <family val="1"/>
      <scheme val="minor"/>
    </font>
    <font>
      <sz val="10"/>
      <color theme="1"/>
      <name val="Calibri"/>
      <family val="2"/>
      <scheme val="minor"/>
    </font>
    <font>
      <sz val="10"/>
      <color theme="1"/>
      <name val="Times New Roman"/>
      <family val="1"/>
    </font>
    <font>
      <sz val="7"/>
      <color theme="1"/>
      <name val="Calibri"/>
      <family val="2"/>
      <scheme val="minor"/>
    </font>
    <font>
      <i/>
      <sz val="11"/>
      <color theme="1"/>
      <name val="Calibri"/>
      <family val="2"/>
      <scheme val="minor"/>
    </font>
    <font>
      <u/>
      <sz val="11"/>
      <color theme="10"/>
      <name val="Calibri"/>
      <family val="2"/>
      <scheme val="minor"/>
    </font>
    <font>
      <vertAlign val="superscript"/>
      <sz val="11"/>
      <color theme="1"/>
      <name val="Calibri"/>
      <family val="2"/>
      <scheme val="minor"/>
    </font>
  </fonts>
  <fills count="26">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xf numFmtId="0" fontId="20" fillId="0" borderId="0" applyNumberFormat="0" applyFill="0" applyBorder="0" applyAlignment="0" applyProtection="0"/>
  </cellStyleXfs>
  <cellXfs count="438">
    <xf numFmtId="0" fontId="0" fillId="0" borderId="0" xfId="0"/>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0" fillId="0" borderId="0" xfId="0"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0" fontId="0" fillId="0" borderId="0" xfId="0" applyAlignment="1">
      <alignment vertical="top" wrapText="1"/>
    </xf>
    <xf numFmtId="6" fontId="10" fillId="7" borderId="0" xfId="3" applyNumberFormat="1"/>
    <xf numFmtId="0" fontId="0" fillId="0" borderId="1" xfId="0" applyBorder="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0" fontId="0" fillId="0" borderId="0" xfId="0" applyAlignment="1">
      <alignment horizontal="center"/>
    </xf>
    <xf numFmtId="0" fontId="2" fillId="0" borderId="1" xfId="0" applyFont="1" applyBorder="1" applyAlignment="1">
      <alignment horizontal="center"/>
    </xf>
    <xf numFmtId="0" fontId="0" fillId="0" borderId="0" xfId="0" applyAlignment="1">
      <alignment horizontal="center" vertical="top"/>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1" fontId="0" fillId="0" borderId="4"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2" fontId="10" fillId="7" borderId="0" xfId="3" applyNumberFormat="1" applyAlignment="1">
      <alignment horizontal="center"/>
    </xf>
    <xf numFmtId="0" fontId="0" fillId="0" borderId="0" xfId="0" applyAlignment="1"/>
    <xf numFmtId="0" fontId="0" fillId="0" borderId="0" xfId="0" applyAlignment="1">
      <alignment vertical="center" wrapText="1"/>
    </xf>
    <xf numFmtId="41" fontId="0" fillId="0" borderId="0" xfId="0" applyNumberFormat="1"/>
    <xf numFmtId="0" fontId="2" fillId="0" borderId="0" xfId="0" applyFont="1" applyFill="1" applyBorder="1" applyAlignment="1">
      <alignment horizontal="center"/>
    </xf>
    <xf numFmtId="0" fontId="2" fillId="0" borderId="1" xfId="0" applyFont="1" applyFill="1" applyBorder="1" applyAlignment="1">
      <alignment horizontal="center"/>
    </xf>
    <xf numFmtId="8" fontId="10" fillId="7" borderId="1" xfId="3" applyNumberFormat="1" applyBorder="1"/>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center"/>
    </xf>
    <xf numFmtId="0" fontId="0" fillId="0" borderId="1" xfId="0" applyBorder="1" applyAlignment="1">
      <alignment horizontal="center"/>
    </xf>
    <xf numFmtId="0" fontId="0" fillId="0" borderId="0" xfId="0" applyAlignment="1">
      <alignment vertical="top"/>
    </xf>
    <xf numFmtId="0" fontId="0" fillId="0" borderId="0" xfId="0" applyAlignment="1">
      <alignment horizontal="center" vertical="center" wrapText="1"/>
    </xf>
    <xf numFmtId="41" fontId="0" fillId="9" borderId="9" xfId="1" applyFont="1" applyFill="1" applyBorder="1" applyAlignment="1">
      <alignment horizontal="center"/>
    </xf>
    <xf numFmtId="10" fontId="0" fillId="8" borderId="9" xfId="0" applyNumberFormat="1" applyFill="1" applyBorder="1" applyAlignment="1">
      <alignment horizontal="center"/>
    </xf>
    <xf numFmtId="41" fontId="5" fillId="9" borderId="9" xfId="1" applyFont="1" applyFill="1" applyBorder="1" applyAlignment="1">
      <alignment horizontal="center"/>
    </xf>
    <xf numFmtId="0" fontId="2" fillId="9" borderId="7" xfId="0" applyFont="1" applyFill="1" applyBorder="1" applyAlignment="1">
      <alignment horizontal="center"/>
    </xf>
    <xf numFmtId="9" fontId="0" fillId="9" borderId="9" xfId="0" applyNumberFormat="1" applyFill="1" applyBorder="1" applyAlignment="1">
      <alignment horizontal="center"/>
    </xf>
    <xf numFmtId="0" fontId="2" fillId="8" borderId="7" xfId="0" applyFont="1" applyFill="1" applyBorder="1" applyAlignment="1">
      <alignment horizontal="center"/>
    </xf>
    <xf numFmtId="41" fontId="0" fillId="8" borderId="9" xfId="1" applyFont="1" applyFill="1" applyBorder="1"/>
    <xf numFmtId="41" fontId="0" fillId="9" borderId="9" xfId="1" applyFont="1" applyFill="1" applyBorder="1"/>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0" fillId="12" borderId="1" xfId="0" applyFill="1" applyBorder="1" applyAlignment="1">
      <alignment horizontal="center"/>
    </xf>
    <xf numFmtId="10" fontId="0" fillId="12" borderId="1" xfId="0" applyNumberFormat="1" applyFill="1" applyBorder="1" applyAlignment="1">
      <alignment horizontal="center"/>
    </xf>
    <xf numFmtId="41" fontId="0" fillId="12" borderId="1" xfId="1"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0" fillId="8" borderId="1" xfId="0" applyFill="1" applyBorder="1" applyAlignment="1">
      <alignment horizontal="center"/>
    </xf>
    <xf numFmtId="0" fontId="0" fillId="8" borderId="0" xfId="0" applyFill="1"/>
    <xf numFmtId="41" fontId="0" fillId="8" borderId="1" xfId="1" applyFont="1" applyFill="1" applyBorder="1"/>
    <xf numFmtId="10" fontId="0" fillId="8" borderId="1" xfId="0" applyNumberFormat="1" applyFill="1" applyBorder="1" applyAlignment="1">
      <alignment horizontal="center"/>
    </xf>
    <xf numFmtId="41" fontId="0" fillId="10" borderId="9" xfId="1" applyFont="1" applyFill="1" applyBorder="1"/>
    <xf numFmtId="41" fontId="0" fillId="12" borderId="9" xfId="1" applyFont="1" applyFill="1" applyBorder="1"/>
    <xf numFmtId="0" fontId="0" fillId="0" borderId="0" xfId="0" applyFill="1"/>
    <xf numFmtId="3" fontId="0" fillId="3" borderId="0" xfId="0" applyNumberFormat="1" applyFill="1"/>
    <xf numFmtId="10" fontId="0" fillId="10" borderId="9" xfId="0" applyNumberFormat="1" applyFill="1" applyBorder="1" applyAlignment="1">
      <alignment horizontal="center" vertical="center" wrapText="1"/>
    </xf>
    <xf numFmtId="9" fontId="0" fillId="10" borderId="9" xfId="0" applyNumberFormat="1" applyFill="1" applyBorder="1" applyAlignment="1">
      <alignment horizontal="center"/>
    </xf>
    <xf numFmtId="0" fontId="2" fillId="11" borderId="7" xfId="0" applyFont="1" applyFill="1" applyBorder="1" applyAlignment="1">
      <alignment horizontal="center"/>
    </xf>
    <xf numFmtId="0" fontId="0" fillId="8" borderId="9" xfId="0" applyFill="1" applyBorder="1" applyAlignment="1">
      <alignment horizontal="center"/>
    </xf>
    <xf numFmtId="0" fontId="2" fillId="10" borderId="7" xfId="0" applyFont="1" applyFill="1" applyBorder="1" applyAlignment="1">
      <alignment horizontal="center"/>
    </xf>
    <xf numFmtId="0" fontId="2" fillId="13" borderId="7" xfId="0" applyFont="1" applyFill="1" applyBorder="1" applyAlignment="1">
      <alignment horizontal="center"/>
    </xf>
    <xf numFmtId="0" fontId="0" fillId="13" borderId="9" xfId="0" applyFill="1" applyBorder="1" applyAlignment="1">
      <alignment horizontal="center"/>
    </xf>
    <xf numFmtId="9" fontId="0" fillId="13" borderId="9" xfId="0" applyNumberFormat="1" applyFill="1" applyBorder="1" applyAlignment="1">
      <alignment horizontal="center"/>
    </xf>
    <xf numFmtId="0" fontId="2" fillId="14" borderId="7" xfId="0" applyFont="1" applyFill="1" applyBorder="1" applyAlignment="1">
      <alignment horizontal="center"/>
    </xf>
    <xf numFmtId="0" fontId="0" fillId="14" borderId="9" xfId="0" applyFill="1" applyBorder="1" applyAlignment="1">
      <alignment horizontal="center"/>
    </xf>
    <xf numFmtId="10" fontId="10" fillId="7" borderId="0" xfId="3" applyNumberFormat="1"/>
    <xf numFmtId="10" fontId="10" fillId="7" borderId="0" xfId="3" applyNumberFormat="1" applyAlignment="1">
      <alignment vertical="top"/>
    </xf>
    <xf numFmtId="0" fontId="0" fillId="10" borderId="7" xfId="0" applyFill="1" applyBorder="1"/>
    <xf numFmtId="9" fontId="0" fillId="10" borderId="9" xfId="0" applyNumberFormat="1" applyFill="1" applyBorder="1"/>
    <xf numFmtId="0" fontId="0" fillId="11" borderId="7" xfId="0" applyFill="1" applyBorder="1"/>
    <xf numFmtId="41" fontId="0" fillId="11" borderId="9" xfId="1" applyFont="1" applyFill="1" applyBorder="1"/>
    <xf numFmtId="0" fontId="0" fillId="8" borderId="7" xfId="0" applyFill="1" applyBorder="1"/>
    <xf numFmtId="0" fontId="0" fillId="15" borderId="7" xfId="0" applyFill="1" applyBorder="1"/>
    <xf numFmtId="0" fontId="0" fillId="15" borderId="9" xfId="0" applyFill="1" applyBorder="1"/>
    <xf numFmtId="41" fontId="0" fillId="15" borderId="9" xfId="1" applyFont="1" applyFill="1" applyBorder="1"/>
    <xf numFmtId="0" fontId="0" fillId="8" borderId="9" xfId="0" applyFill="1" applyBorder="1"/>
    <xf numFmtId="9" fontId="0" fillId="8" borderId="9" xfId="0" applyNumberFormat="1" applyFill="1" applyBorder="1"/>
    <xf numFmtId="8" fontId="0" fillId="0" borderId="0" xfId="0" applyNumberFormat="1"/>
    <xf numFmtId="0" fontId="0" fillId="0" borderId="10" xfId="0" applyBorder="1"/>
    <xf numFmtId="2" fontId="0" fillId="0" borderId="1" xfId="0" applyNumberFormat="1" applyBorder="1"/>
    <xf numFmtId="0" fontId="2" fillId="0" borderId="0" xfId="0" applyFont="1"/>
    <xf numFmtId="9" fontId="0" fillId="15" borderId="9" xfId="0" applyNumberFormat="1" applyFill="1" applyBorder="1"/>
    <xf numFmtId="0" fontId="0" fillId="11" borderId="9" xfId="0" applyFill="1" applyBorder="1"/>
    <xf numFmtId="0" fontId="0" fillId="8" borderId="7" xfId="0" applyFill="1" applyBorder="1" applyAlignment="1">
      <alignment horizontal="center"/>
    </xf>
    <xf numFmtId="0" fontId="0" fillId="15" borderId="7" xfId="0" applyFill="1" applyBorder="1" applyAlignment="1">
      <alignment horizontal="center"/>
    </xf>
    <xf numFmtId="0" fontId="2" fillId="15" borderId="7" xfId="0" applyFont="1" applyFill="1" applyBorder="1" applyAlignment="1">
      <alignment horizontal="center"/>
    </xf>
    <xf numFmtId="0" fontId="0" fillId="0" borderId="0" xfId="0" applyBorder="1" applyAlignment="1">
      <alignment horizontal="center"/>
    </xf>
    <xf numFmtId="0" fontId="2" fillId="0" borderId="2" xfId="0" applyFont="1" applyBorder="1" applyAlignment="1">
      <alignment horizontal="center"/>
    </xf>
    <xf numFmtId="41" fontId="0" fillId="0" borderId="2" xfId="1" applyFont="1" applyBorder="1" applyAlignment="1">
      <alignment horizontal="center"/>
    </xf>
    <xf numFmtId="41" fontId="0" fillId="0" borderId="0" xfId="1" applyFont="1" applyBorder="1" applyAlignment="1">
      <alignment horizontal="center"/>
    </xf>
    <xf numFmtId="0" fontId="0" fillId="0" borderId="0" xfId="0" applyFill="1" applyBorder="1"/>
    <xf numFmtId="41" fontId="0" fillId="0" borderId="0" xfId="1" applyFont="1" applyFill="1" applyBorder="1"/>
    <xf numFmtId="0" fontId="0" fillId="0" borderId="0" xfId="0" applyBorder="1" applyAlignment="1"/>
    <xf numFmtId="0" fontId="0" fillId="0" borderId="0" xfId="0" applyBorder="1" applyAlignment="1">
      <alignment horizontal="center"/>
    </xf>
    <xf numFmtId="9" fontId="2" fillId="0" borderId="0" xfId="0" applyNumberFormat="1" applyFont="1" applyFill="1" applyAlignment="1">
      <alignment horizontal="center"/>
    </xf>
    <xf numFmtId="9" fontId="0" fillId="0" borderId="0" xfId="0" applyNumberFormat="1" applyFont="1" applyFill="1" applyAlignment="1">
      <alignment horizontal="center"/>
    </xf>
    <xf numFmtId="1" fontId="0" fillId="0" borderId="0" xfId="0" applyNumberFormat="1" applyFont="1" applyFill="1" applyAlignment="1">
      <alignment horizontal="center"/>
    </xf>
    <xf numFmtId="2" fontId="10" fillId="7" borderId="0" xfId="3" applyNumberFormat="1"/>
    <xf numFmtId="1" fontId="0" fillId="0" borderId="1" xfId="0" applyNumberFormat="1" applyBorder="1"/>
    <xf numFmtId="165" fontId="0" fillId="0" borderId="1" xfId="0" applyNumberFormat="1" applyBorder="1"/>
    <xf numFmtId="164" fontId="0" fillId="11" borderId="9" xfId="1" applyNumberFormat="1" applyFont="1" applyFill="1" applyBorder="1"/>
    <xf numFmtId="0" fontId="2" fillId="0" borderId="1" xfId="0" applyFont="1" applyBorder="1"/>
    <xf numFmtId="9" fontId="0" fillId="15" borderId="9" xfId="0" applyNumberFormat="1" applyFill="1" applyBorder="1" applyAlignment="1">
      <alignment horizontal="center"/>
    </xf>
    <xf numFmtId="0" fontId="0" fillId="15" borderId="9" xfId="0" applyFill="1" applyBorder="1" applyAlignment="1">
      <alignment horizontal="center"/>
    </xf>
    <xf numFmtId="0" fontId="2" fillId="16" borderId="7" xfId="0" applyFont="1" applyFill="1" applyBorder="1" applyAlignment="1">
      <alignment horizontal="center"/>
    </xf>
    <xf numFmtId="10" fontId="0" fillId="16" borderId="9" xfId="0" applyNumberFormat="1" applyFill="1" applyBorder="1" applyAlignment="1">
      <alignment horizontal="center"/>
    </xf>
    <xf numFmtId="0" fontId="2" fillId="17" borderId="7" xfId="0" applyFont="1" applyFill="1" applyBorder="1" applyAlignment="1">
      <alignment horizontal="center"/>
    </xf>
    <xf numFmtId="41" fontId="0" fillId="17" borderId="9" xfId="1" applyFont="1" applyFill="1" applyBorder="1"/>
    <xf numFmtId="43" fontId="0" fillId="0" borderId="0" xfId="0" applyNumberFormat="1"/>
    <xf numFmtId="0" fontId="3" fillId="2" borderId="0" xfId="0" applyFont="1" applyFill="1" applyAlignment="1">
      <alignment horizontal="center"/>
    </xf>
    <xf numFmtId="0" fontId="4" fillId="3"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xf>
    <xf numFmtId="0" fontId="3" fillId="9" borderId="7" xfId="0" applyFont="1" applyFill="1" applyBorder="1" applyAlignment="1">
      <alignment horizontal="center"/>
    </xf>
    <xf numFmtId="0" fontId="3" fillId="9" borderId="8" xfId="0" applyFont="1" applyFill="1" applyBorder="1"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9" borderId="7" xfId="0" applyFont="1" applyFill="1" applyBorder="1" applyAlignment="1">
      <alignment horizontal="center"/>
    </xf>
    <xf numFmtId="0" fontId="2" fillId="9" borderId="8" xfId="0" applyFont="1" applyFill="1" applyBorder="1" applyAlignment="1">
      <alignment horizontal="center"/>
    </xf>
    <xf numFmtId="0" fontId="0" fillId="0" borderId="0" xfId="0" applyFont="1" applyAlignment="1">
      <alignment horizontal="left"/>
    </xf>
    <xf numFmtId="0" fontId="0" fillId="0" borderId="0" xfId="0" applyAlignment="1">
      <alignment horizontal="center" vertical="top" wrapText="1"/>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wrapText="1"/>
    </xf>
    <xf numFmtId="0" fontId="2" fillId="0" borderId="0" xfId="0" applyFont="1" applyAlignment="1">
      <alignment horizontal="center" vertical="top" wrapText="1"/>
    </xf>
    <xf numFmtId="41" fontId="0" fillId="0" borderId="0" xfId="0" applyNumberFormat="1" applyAlignment="1">
      <alignment horizontal="center" vertical="center"/>
    </xf>
    <xf numFmtId="41" fontId="0" fillId="0" borderId="0" xfId="0" applyNumberFormat="1" applyAlignment="1">
      <alignment horizontal="center" vertical="center" wrapText="1"/>
    </xf>
    <xf numFmtId="0" fontId="0" fillId="5" borderId="0" xfId="0" applyFill="1" applyAlignment="1">
      <alignment horizontal="center"/>
    </xf>
    <xf numFmtId="0" fontId="2" fillId="0" borderId="0" xfId="0" applyFont="1" applyAlignment="1">
      <alignment horizontal="center"/>
    </xf>
    <xf numFmtId="0" fontId="2" fillId="12" borderId="7" xfId="0" applyFont="1" applyFill="1" applyBorder="1" applyAlignment="1">
      <alignment horizontal="center"/>
    </xf>
    <xf numFmtId="0" fontId="2" fillId="12" borderId="8" xfId="0" applyFont="1" applyFill="1" applyBorder="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6" fillId="3" borderId="0" xfId="0" applyFont="1" applyFill="1" applyAlignment="1">
      <alignment horizontal="center" vertical="center" wrapText="1"/>
    </xf>
    <xf numFmtId="0" fontId="2" fillId="0" borderId="1" xfId="0" applyFont="1" applyBorder="1" applyAlignment="1">
      <alignment horizontal="center"/>
    </xf>
    <xf numFmtId="0" fontId="0" fillId="5" borderId="0" xfId="0" applyFill="1" applyAlignment="1">
      <alignment horizontal="center" vertical="center" wrapText="1"/>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2" fillId="10" borderId="7" xfId="0" applyFont="1" applyFill="1" applyBorder="1" applyAlignment="1">
      <alignment horizontal="center"/>
    </xf>
    <xf numFmtId="0" fontId="2" fillId="10" borderId="8" xfId="0" applyFont="1" applyFill="1" applyBorder="1" applyAlignment="1">
      <alignment horizontal="center"/>
    </xf>
    <xf numFmtId="0" fontId="2" fillId="13" borderId="7" xfId="0" applyFont="1" applyFill="1" applyBorder="1" applyAlignment="1">
      <alignment horizontal="center"/>
    </xf>
    <xf numFmtId="0" fontId="2" fillId="13" borderId="8" xfId="0" applyFont="1" applyFill="1" applyBorder="1" applyAlignment="1">
      <alignment horizontal="center"/>
    </xf>
    <xf numFmtId="0" fontId="0" fillId="5" borderId="0" xfId="0" applyFill="1" applyAlignment="1">
      <alignment horizontal="center" vertical="top" wrapText="1"/>
    </xf>
    <xf numFmtId="0" fontId="0" fillId="0" borderId="0" xfId="0" applyAlignment="1">
      <alignment horizontal="center" vertical="center"/>
    </xf>
    <xf numFmtId="0" fontId="8" fillId="5" borderId="0" xfId="0" applyFont="1" applyFill="1" applyAlignment="1">
      <alignment horizontal="center" vertic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0" fillId="10" borderId="0" xfId="0" applyFill="1" applyAlignment="1">
      <alignment horizontal="center" wrapText="1"/>
    </xf>
    <xf numFmtId="0" fontId="0" fillId="10" borderId="0" xfId="0" applyFill="1" applyAlignment="1">
      <alignment horizontal="center" vertical="center" wrapText="1"/>
    </xf>
    <xf numFmtId="8" fontId="0" fillId="0" borderId="0" xfId="0" applyNumberFormat="1" applyAlignment="1">
      <alignment horizontal="center" vertical="center"/>
    </xf>
    <xf numFmtId="0" fontId="0" fillId="5" borderId="0" xfId="0" applyFill="1" applyAlignment="1">
      <alignment horizontal="center" wrapText="1"/>
    </xf>
    <xf numFmtId="0" fontId="0" fillId="0" borderId="1" xfId="0" applyBorder="1" applyAlignment="1">
      <alignment horizontal="center"/>
    </xf>
    <xf numFmtId="0" fontId="0" fillId="0" borderId="0" xfId="0" applyBorder="1" applyAlignment="1">
      <alignment horizontal="center"/>
    </xf>
    <xf numFmtId="0" fontId="0" fillId="8" borderId="0" xfId="0" applyFill="1" applyAlignment="1">
      <alignment horizontal="center" wrapText="1"/>
    </xf>
    <xf numFmtId="0" fontId="12" fillId="3" borderId="0" xfId="0" applyFont="1" applyFill="1" applyAlignment="1">
      <alignment horizontal="center"/>
    </xf>
    <xf numFmtId="9" fontId="0" fillId="0" borderId="1" xfId="0" applyNumberFormat="1" applyBorder="1" applyAlignment="1">
      <alignment horizontal="center"/>
    </xf>
    <xf numFmtId="0" fontId="0" fillId="18" borderId="1" xfId="0" applyFill="1" applyBorder="1"/>
    <xf numFmtId="41" fontId="0" fillId="0" borderId="1" xfId="0" applyNumberFormat="1" applyBorder="1"/>
    <xf numFmtId="9" fontId="0" fillId="0" borderId="0" xfId="0" applyNumberFormat="1" applyFill="1" applyBorder="1"/>
    <xf numFmtId="0" fontId="0" fillId="0" borderId="1" xfId="0" applyFill="1" applyBorder="1"/>
    <xf numFmtId="41" fontId="0" fillId="0" borderId="0" xfId="0" applyNumberFormat="1" applyFill="1" applyBorder="1"/>
    <xf numFmtId="0" fontId="0" fillId="0" borderId="0" xfId="0" applyFill="1" applyBorder="1" applyAlignment="1">
      <alignment horizontal="center" vertical="center"/>
    </xf>
    <xf numFmtId="41" fontId="0" fillId="19" borderId="1" xfId="0" applyNumberFormat="1" applyFill="1" applyBorder="1"/>
    <xf numFmtId="9" fontId="0" fillId="0" borderId="0" xfId="0" applyNumberFormat="1"/>
    <xf numFmtId="0" fontId="0" fillId="0" borderId="0" xfId="0" applyAlignment="1">
      <alignment horizontal="left" vertical="center" wrapText="1"/>
    </xf>
    <xf numFmtId="9" fontId="0" fillId="0" borderId="0" xfId="2" applyFont="1"/>
    <xf numFmtId="0" fontId="15" fillId="0" borderId="0" xfId="0" applyFont="1" applyAlignment="1">
      <alignment horizontal="left" vertical="center"/>
    </xf>
    <xf numFmtId="10" fontId="0" fillId="0" borderId="1" xfId="2" applyNumberFormat="1" applyFont="1" applyBorder="1"/>
    <xf numFmtId="0" fontId="0" fillId="0" borderId="0" xfId="0" applyAlignment="1">
      <alignment horizontal="left" vertical="center" wrapText="1"/>
    </xf>
    <xf numFmtId="0" fontId="0" fillId="0" borderId="0" xfId="0" applyFill="1" applyBorder="1" applyAlignment="1"/>
    <xf numFmtId="0" fontId="0" fillId="17" borderId="7" xfId="0" applyFill="1" applyBorder="1"/>
    <xf numFmtId="9" fontId="0" fillId="17" borderId="9" xfId="0" applyNumberFormat="1" applyFill="1" applyBorder="1"/>
    <xf numFmtId="10" fontId="0" fillId="15" borderId="9" xfId="2" applyNumberFormat="1" applyFont="1" applyFill="1" applyBorder="1"/>
    <xf numFmtId="0" fontId="0" fillId="9" borderId="9" xfId="0" applyFill="1" applyBorder="1"/>
    <xf numFmtId="0" fontId="13" fillId="8" borderId="7" xfId="0" applyFont="1" applyFill="1" applyBorder="1"/>
    <xf numFmtId="41" fontId="0" fillId="0" borderId="5" xfId="1" applyFont="1" applyBorder="1"/>
    <xf numFmtId="0" fontId="0" fillId="0" borderId="10" xfId="0" applyBorder="1" applyAlignment="1">
      <alignment horizontal="center"/>
    </xf>
    <xf numFmtId="41" fontId="0" fillId="0" borderId="0" xfId="1" applyFont="1" applyBorder="1"/>
    <xf numFmtId="0" fontId="0" fillId="0" borderId="7" xfId="0" applyBorder="1" applyAlignment="1">
      <alignment horizontal="center"/>
    </xf>
    <xf numFmtId="0" fontId="0" fillId="0" borderId="8" xfId="0" applyBorder="1" applyAlignment="1">
      <alignment horizontal="center"/>
    </xf>
    <xf numFmtId="41" fontId="0" fillId="0" borderId="9" xfId="1" applyFont="1" applyBorder="1"/>
    <xf numFmtId="41" fontId="10" fillId="7" borderId="9" xfId="3" applyNumberFormat="1" applyBorder="1"/>
    <xf numFmtId="0" fontId="0" fillId="20" borderId="7" xfId="0" applyFill="1" applyBorder="1" applyAlignment="1">
      <alignment horizontal="center"/>
    </xf>
    <xf numFmtId="0" fontId="0" fillId="20" borderId="8" xfId="0" applyFill="1" applyBorder="1" applyAlignment="1">
      <alignment horizontal="center"/>
    </xf>
    <xf numFmtId="10" fontId="0" fillId="20" borderId="9" xfId="0" applyNumberFormat="1" applyFill="1" applyBorder="1"/>
    <xf numFmtId="0" fontId="0" fillId="9" borderId="7" xfId="0" applyFill="1" applyBorder="1" applyAlignment="1">
      <alignment horizontal="center"/>
    </xf>
    <xf numFmtId="0" fontId="0" fillId="9" borderId="8" xfId="0" applyFill="1" applyBorder="1" applyAlignment="1">
      <alignment horizontal="center"/>
    </xf>
    <xf numFmtId="0" fontId="0" fillId="18" borderId="7" xfId="0" applyFill="1" applyBorder="1" applyAlignment="1">
      <alignment horizontal="center"/>
    </xf>
    <xf numFmtId="0" fontId="0" fillId="18" borderId="8" xfId="0" applyFill="1" applyBorder="1" applyAlignment="1">
      <alignment horizontal="center"/>
    </xf>
    <xf numFmtId="41" fontId="0" fillId="18" borderId="9" xfId="1" applyFont="1" applyFill="1" applyBorder="1"/>
    <xf numFmtId="0" fontId="0" fillId="21" borderId="7" xfId="0" applyFill="1" applyBorder="1" applyAlignment="1">
      <alignment horizontal="center"/>
    </xf>
    <xf numFmtId="0" fontId="0" fillId="21" borderId="8" xfId="0" applyFill="1" applyBorder="1" applyAlignment="1">
      <alignment horizontal="center"/>
    </xf>
    <xf numFmtId="0" fontId="0" fillId="5" borderId="0" xfId="0" applyFill="1" applyAlignment="1">
      <alignment horizontal="center" vertical="center"/>
    </xf>
    <xf numFmtId="8" fontId="0" fillId="0" borderId="9" xfId="0" applyNumberFormat="1" applyBorder="1"/>
    <xf numFmtId="0" fontId="0" fillId="17" borderId="7" xfId="0" applyFill="1" applyBorder="1" applyAlignment="1">
      <alignment horizontal="center"/>
    </xf>
    <xf numFmtId="0" fontId="0" fillId="17" borderId="8" xfId="0" applyFill="1" applyBorder="1" applyAlignment="1">
      <alignment horizontal="center"/>
    </xf>
    <xf numFmtId="0" fontId="0" fillId="15" borderId="7" xfId="0" applyFill="1" applyBorder="1" applyAlignment="1">
      <alignment horizontal="center"/>
    </xf>
    <xf numFmtId="0" fontId="0" fillId="15" borderId="8" xfId="0" applyFill="1" applyBorder="1" applyAlignment="1">
      <alignment horizontal="center"/>
    </xf>
    <xf numFmtId="8" fontId="0" fillId="8" borderId="9" xfId="0" applyNumberFormat="1" applyFill="1" applyBorder="1"/>
    <xf numFmtId="0" fontId="0" fillId="16" borderId="7" xfId="0" applyFill="1" applyBorder="1"/>
    <xf numFmtId="0" fontId="7" fillId="19" borderId="0" xfId="0" applyFont="1" applyFill="1" applyAlignment="1">
      <alignment horizontal="center"/>
    </xf>
    <xf numFmtId="0" fontId="0" fillId="19" borderId="0" xfId="0" applyFill="1" applyAlignment="1">
      <alignment horizontal="center"/>
    </xf>
    <xf numFmtId="41" fontId="0" fillId="19" borderId="1" xfId="1" applyFont="1" applyFill="1" applyBorder="1"/>
    <xf numFmtId="43" fontId="0" fillId="22" borderId="1" xfId="0" applyNumberFormat="1" applyFill="1" applyBorder="1" applyAlignment="1">
      <alignment horizontal="center"/>
    </xf>
    <xf numFmtId="43" fontId="0" fillId="0" borderId="1" xfId="0" applyNumberFormat="1" applyBorder="1" applyAlignment="1">
      <alignment horizontal="center"/>
    </xf>
    <xf numFmtId="43" fontId="0" fillId="22" borderId="5" xfId="0" applyNumberFormat="1" applyFill="1" applyBorder="1" applyAlignment="1">
      <alignment horizontal="center"/>
    </xf>
    <xf numFmtId="43" fontId="0" fillId="3" borderId="11" xfId="0" applyNumberFormat="1" applyFill="1" applyBorder="1"/>
    <xf numFmtId="41" fontId="0" fillId="0" borderId="1" xfId="0" applyNumberFormat="1" applyBorder="1" applyAlignment="1">
      <alignment horizontal="center"/>
    </xf>
    <xf numFmtId="0" fontId="0" fillId="0" borderId="0" xfId="0" applyAlignment="1">
      <alignment vertical="center"/>
    </xf>
    <xf numFmtId="43" fontId="0" fillId="0" borderId="0" xfId="0" applyNumberFormat="1" applyAlignment="1">
      <alignment vertical="center"/>
    </xf>
    <xf numFmtId="43" fontId="0" fillId="0" borderId="11" xfId="0" applyNumberFormat="1" applyBorder="1"/>
    <xf numFmtId="0" fontId="0" fillId="0" borderId="0" xfId="0" applyFont="1" applyAlignment="1">
      <alignment horizontal="center" vertical="center"/>
    </xf>
    <xf numFmtId="166" fontId="0" fillId="0" borderId="1" xfId="0" applyNumberFormat="1" applyBorder="1"/>
    <xf numFmtId="0" fontId="0" fillId="0" borderId="0" xfId="0" applyBorder="1"/>
    <xf numFmtId="0" fontId="0" fillId="18" borderId="1" xfId="0" applyFill="1" applyBorder="1" applyAlignment="1">
      <alignment horizontal="center"/>
    </xf>
    <xf numFmtId="9" fontId="0" fillId="0" borderId="1" xfId="2" applyFont="1" applyBorder="1"/>
    <xf numFmtId="8" fontId="2" fillId="0" borderId="0" xfId="0" applyNumberFormat="1" applyFont="1"/>
    <xf numFmtId="1" fontId="0" fillId="0" borderId="1" xfId="2" applyNumberFormat="1" applyFont="1" applyBorder="1"/>
    <xf numFmtId="1" fontId="0" fillId="0" borderId="0" xfId="0" applyNumberFormat="1"/>
    <xf numFmtId="0" fontId="0" fillId="0" borderId="12"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9" borderId="1" xfId="0" applyFill="1" applyBorder="1" applyAlignment="1">
      <alignment horizontal="center"/>
    </xf>
    <xf numFmtId="0" fontId="0" fillId="0" borderId="0" xfId="0" applyAlignment="1">
      <alignment horizontal="left" wrapText="1"/>
    </xf>
    <xf numFmtId="0" fontId="0" fillId="0" borderId="0" xfId="0" applyAlignment="1">
      <alignment horizontal="left" wrapText="1"/>
    </xf>
    <xf numFmtId="0" fontId="16" fillId="0" borderId="0" xfId="0" applyFont="1" applyAlignment="1">
      <alignment horizontal="left" wrapText="1"/>
    </xf>
    <xf numFmtId="0" fontId="0" fillId="8" borderId="1" xfId="0" applyFill="1" applyBorder="1" applyAlignment="1">
      <alignment horizontal="center" wrapText="1"/>
    </xf>
    <xf numFmtId="41" fontId="0" fillId="8" borderId="1" xfId="1" applyFont="1" applyFill="1" applyBorder="1" applyAlignment="1">
      <alignment horizontal="center" wrapText="1"/>
    </xf>
    <xf numFmtId="0" fontId="0" fillId="0" borderId="1" xfId="0" applyBorder="1" applyAlignment="1">
      <alignment horizontal="center" wrapText="1"/>
    </xf>
    <xf numFmtId="41" fontId="0" fillId="0" borderId="1" xfId="1" applyFont="1" applyBorder="1" applyAlignment="1">
      <alignment horizontal="center" wrapText="1"/>
    </xf>
    <xf numFmtId="41" fontId="0" fillId="0" borderId="1" xfId="0" applyNumberFormat="1" applyBorder="1" applyAlignment="1">
      <alignment horizontal="center" wrapText="1"/>
    </xf>
    <xf numFmtId="41" fontId="0" fillId="0" borderId="0" xfId="0" applyNumberFormat="1" applyAlignment="1">
      <alignment horizontal="left" wrapText="1"/>
    </xf>
    <xf numFmtId="8" fontId="0" fillId="0" borderId="0" xfId="0" applyNumberFormat="1" applyAlignment="1">
      <alignment horizontal="left" wrapText="1"/>
    </xf>
    <xf numFmtId="0" fontId="8" fillId="5" borderId="1" xfId="0" applyFont="1" applyFill="1" applyBorder="1"/>
    <xf numFmtId="41" fontId="0" fillId="5" borderId="1" xfId="1" applyFont="1" applyFill="1" applyBorder="1"/>
    <xf numFmtId="41" fontId="8" fillId="5" borderId="1" xfId="1" applyFont="1" applyFill="1" applyBorder="1"/>
    <xf numFmtId="0" fontId="0" fillId="0" borderId="2" xfId="0" applyBorder="1" applyAlignment="1">
      <alignment horizontal="center"/>
    </xf>
    <xf numFmtId="0" fontId="16" fillId="0" borderId="0" xfId="0" applyFont="1"/>
    <xf numFmtId="8" fontId="2" fillId="0" borderId="0" xfId="1" applyNumberFormat="1" applyFont="1" applyBorder="1"/>
    <xf numFmtId="41" fontId="0" fillId="0" borderId="0" xfId="0" applyNumberFormat="1" applyAlignment="1">
      <alignment horizontal="center" wrapText="1"/>
    </xf>
    <xf numFmtId="1" fontId="0" fillId="0" borderId="0" xfId="0" applyNumberFormat="1" applyAlignment="1">
      <alignment horizontal="center" vertical="center"/>
    </xf>
    <xf numFmtId="9" fontId="0" fillId="0" borderId="0" xfId="1" applyNumberFormat="1" applyFont="1"/>
    <xf numFmtId="0" fontId="0" fillId="23" borderId="1" xfId="0" applyFill="1" applyBorder="1" applyAlignment="1">
      <alignment horizontal="center"/>
    </xf>
    <xf numFmtId="41" fontId="0" fillId="23" borderId="1" xfId="0" applyNumberFormat="1" applyFill="1" applyBorder="1" applyAlignment="1">
      <alignment horizontal="center"/>
    </xf>
    <xf numFmtId="9" fontId="0" fillId="0" borderId="1" xfId="0" applyNumberFormat="1" applyBorder="1"/>
    <xf numFmtId="167" fontId="0" fillId="0" borderId="1" xfId="2" applyNumberFormat="1" applyFont="1" applyBorder="1"/>
    <xf numFmtId="0" fontId="0" fillId="0" borderId="12" xfId="0" applyBorder="1"/>
    <xf numFmtId="0" fontId="0" fillId="0" borderId="14" xfId="0" applyBorder="1" applyAlignment="1">
      <alignment horizontal="center" vertical="center"/>
    </xf>
    <xf numFmtId="0" fontId="0" fillId="0" borderId="8" xfId="0" applyBorder="1"/>
    <xf numFmtId="41" fontId="0" fillId="0" borderId="9" xfId="0" applyNumberFormat="1" applyBorder="1"/>
    <xf numFmtId="0" fontId="0" fillId="0" borderId="4" xfId="0" applyBorder="1"/>
    <xf numFmtId="41" fontId="0" fillId="0" borderId="12" xfId="1" applyFont="1" applyBorder="1"/>
    <xf numFmtId="0" fontId="0" fillId="0" borderId="15" xfId="0" applyBorder="1" applyAlignment="1">
      <alignment horizontal="center" vertical="center"/>
    </xf>
    <xf numFmtId="0" fontId="0" fillId="0" borderId="1" xfId="0" applyBorder="1" applyAlignment="1">
      <alignment horizontal="center" vertical="center"/>
    </xf>
    <xf numFmtId="8" fontId="0" fillId="0" borderId="15" xfId="0" applyNumberFormat="1" applyBorder="1"/>
    <xf numFmtId="8" fontId="0" fillId="0" borderId="16" xfId="0" applyNumberFormat="1" applyBorder="1"/>
    <xf numFmtId="8" fontId="0" fillId="0" borderId="11" xfId="0" applyNumberFormat="1" applyBorder="1"/>
    <xf numFmtId="0" fontId="0" fillId="0" borderId="0" xfId="0" applyFont="1" applyAlignment="1">
      <alignment horizontal="left" vertical="center" wrapText="1"/>
    </xf>
    <xf numFmtId="0" fontId="0" fillId="0" borderId="17"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9" fontId="0" fillId="0" borderId="18" xfId="0" applyNumberFormat="1" applyBorder="1"/>
    <xf numFmtId="9" fontId="0" fillId="0" borderId="18" xfId="2" applyFont="1" applyBorder="1"/>
    <xf numFmtId="41" fontId="0" fillId="0" borderId="0" xfId="0" applyNumberFormat="1" applyBorder="1"/>
    <xf numFmtId="0" fontId="0" fillId="0" borderId="19" xfId="0" applyBorder="1" applyAlignment="1">
      <alignment horizontal="center"/>
    </xf>
    <xf numFmtId="0" fontId="0" fillId="0" borderId="20" xfId="0" applyBorder="1" applyAlignment="1">
      <alignment horizontal="center"/>
    </xf>
    <xf numFmtId="9" fontId="0" fillId="0" borderId="21" xfId="2" applyFont="1" applyBorder="1"/>
    <xf numFmtId="0" fontId="0" fillId="0" borderId="5" xfId="0" applyFill="1" applyBorder="1"/>
    <xf numFmtId="0" fontId="0" fillId="0" borderId="0" xfId="0" applyBorder="1" applyAlignment="1">
      <alignment horizontal="center" vertical="center" wrapText="1"/>
    </xf>
    <xf numFmtId="41" fontId="0" fillId="0" borderId="11" xfId="1" applyFont="1" applyFill="1" applyBorder="1"/>
    <xf numFmtId="41" fontId="0" fillId="0" borderId="10" xfId="1" applyFont="1" applyFill="1" applyBorder="1"/>
    <xf numFmtId="8" fontId="0" fillId="0" borderId="0" xfId="0" applyNumberFormat="1" applyBorder="1"/>
    <xf numFmtId="41" fontId="0" fillId="0" borderId="1" xfId="1" applyFont="1" applyFill="1" applyBorder="1"/>
    <xf numFmtId="0" fontId="0" fillId="0" borderId="0" xfId="0" applyFill="1" applyBorder="1" applyAlignment="1">
      <alignment horizontal="center" wrapText="1"/>
    </xf>
    <xf numFmtId="8" fontId="0" fillId="23" borderId="9" xfId="0" applyNumberFormat="1" applyFill="1" applyBorder="1"/>
    <xf numFmtId="0" fontId="0" fillId="23" borderId="8" xfId="0" applyFill="1" applyBorder="1"/>
    <xf numFmtId="0" fontId="0" fillId="23" borderId="7" xfId="0" applyFill="1" applyBorder="1"/>
    <xf numFmtId="9" fontId="0" fillId="0" borderId="4" xfId="0" applyNumberFormat="1" applyBorder="1"/>
    <xf numFmtId="0" fontId="2" fillId="0" borderId="13" xfId="0" applyFont="1" applyBorder="1" applyAlignment="1"/>
    <xf numFmtId="0" fontId="2" fillId="0" borderId="18" xfId="0" applyFont="1" applyBorder="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41" fontId="0" fillId="0" borderId="12" xfId="0" applyNumberFormat="1" applyBorder="1"/>
    <xf numFmtId="41" fontId="0" fillId="0" borderId="11" xfId="1" applyFont="1" applyBorder="1" applyAlignment="1">
      <alignment horizontal="center"/>
    </xf>
    <xf numFmtId="41" fontId="0" fillId="0" borderId="12" xfId="1" applyFont="1" applyBorder="1" applyAlignment="1">
      <alignment horizontal="center"/>
    </xf>
    <xf numFmtId="1" fontId="0" fillId="0" borderId="1" xfId="1" applyNumberFormat="1" applyFont="1" applyBorder="1" applyAlignment="1">
      <alignment horizontal="center"/>
    </xf>
    <xf numFmtId="41" fontId="0" fillId="0" borderId="5" xfId="1" applyFont="1" applyBorder="1" applyAlignment="1">
      <alignment horizontal="center"/>
    </xf>
    <xf numFmtId="1" fontId="0" fillId="0" borderId="5" xfId="1" applyNumberFormat="1" applyFont="1" applyBorder="1" applyAlignment="1">
      <alignment horizontal="center"/>
    </xf>
    <xf numFmtId="0" fontId="0" fillId="0" borderId="22" xfId="0" applyBorder="1"/>
    <xf numFmtId="8" fontId="0" fillId="0" borderId="23" xfId="0" applyNumberFormat="1" applyBorder="1"/>
    <xf numFmtId="0" fontId="0" fillId="0" borderId="24" xfId="0" applyBorder="1"/>
    <xf numFmtId="0" fontId="0" fillId="0" borderId="25" xfId="0" applyBorder="1"/>
    <xf numFmtId="0" fontId="2" fillId="0" borderId="0" xfId="0" applyFont="1" applyAlignment="1"/>
    <xf numFmtId="2" fontId="2" fillId="0" borderId="0" xfId="0" applyNumberFormat="1" applyFont="1" applyAlignment="1"/>
    <xf numFmtId="2" fontId="10" fillId="7" borderId="1" xfId="3" applyNumberFormat="1" applyBorder="1"/>
    <xf numFmtId="0" fontId="0" fillId="0" borderId="5" xfId="0" applyBorder="1"/>
    <xf numFmtId="41" fontId="0" fillId="0" borderId="11" xfId="1" applyFont="1" applyBorder="1"/>
    <xf numFmtId="41" fontId="0" fillId="0" borderId="10" xfId="1" applyFont="1" applyBorder="1"/>
    <xf numFmtId="41" fontId="0" fillId="0" borderId="0" xfId="1" applyFont="1" applyAlignment="1">
      <alignment horizontal="center"/>
    </xf>
    <xf numFmtId="9" fontId="0" fillId="0" borderId="0" xfId="0" applyNumberFormat="1" applyAlignment="1">
      <alignment horizontal="center" wrapText="1"/>
    </xf>
    <xf numFmtId="9" fontId="0" fillId="0" borderId="0" xfId="0" applyNumberFormat="1" applyAlignment="1">
      <alignment horizontal="center" wrapText="1"/>
    </xf>
    <xf numFmtId="9" fontId="0" fillId="0" borderId="0" xfId="2" applyFont="1" applyAlignment="1">
      <alignment horizontal="center" wrapText="1"/>
    </xf>
    <xf numFmtId="41" fontId="0" fillId="0" borderId="5" xfId="0" applyNumberFormat="1" applyBorder="1"/>
    <xf numFmtId="41" fontId="0" fillId="0" borderId="11" xfId="0" applyNumberFormat="1" applyBorder="1"/>
    <xf numFmtId="10" fontId="0" fillId="0" borderId="0" xfId="0" applyNumberFormat="1"/>
    <xf numFmtId="0" fontId="14" fillId="0" borderId="1" xfId="0" applyFont="1" applyFill="1" applyBorder="1"/>
    <xf numFmtId="43" fontId="0" fillId="0" borderId="1" xfId="0" applyNumberFormat="1" applyBorder="1"/>
    <xf numFmtId="0" fontId="0" fillId="0" borderId="0" xfId="0" applyBorder="1" applyAlignment="1">
      <alignment horizontal="center" wrapText="1"/>
    </xf>
    <xf numFmtId="9" fontId="0" fillId="0" borderId="5" xfId="2" applyFont="1" applyBorder="1"/>
    <xf numFmtId="43" fontId="0" fillId="0" borderId="5" xfId="0" applyNumberFormat="1" applyBorder="1"/>
    <xf numFmtId="41" fontId="0" fillId="9" borderId="9" xfId="0" applyNumberFormat="1" applyFill="1" applyBorder="1"/>
    <xf numFmtId="43" fontId="0" fillId="9" borderId="9" xfId="0" applyNumberFormat="1" applyFill="1" applyBorder="1"/>
    <xf numFmtId="0" fontId="0" fillId="0" borderId="0" xfId="0" applyBorder="1" applyAlignment="1">
      <alignment wrapText="1"/>
    </xf>
    <xf numFmtId="43" fontId="0" fillId="0" borderId="0" xfId="0" applyNumberFormat="1" applyFill="1" applyBorder="1"/>
    <xf numFmtId="0" fontId="0" fillId="0" borderId="7" xfId="0" applyFill="1" applyBorder="1" applyAlignment="1">
      <alignment horizontal="center"/>
    </xf>
    <xf numFmtId="0" fontId="0" fillId="0" borderId="8" xfId="0" applyFill="1" applyBorder="1" applyAlignment="1">
      <alignment horizontal="center"/>
    </xf>
    <xf numFmtId="41" fontId="0" fillId="0" borderId="9" xfId="0" applyNumberFormat="1" applyFill="1" applyBorder="1"/>
    <xf numFmtId="0" fontId="16" fillId="0" borderId="1" xfId="0" applyFont="1" applyFill="1" applyBorder="1"/>
    <xf numFmtId="10" fontId="0" fillId="0" borderId="5" xfId="2" applyNumberFormat="1" applyFont="1" applyBorder="1"/>
    <xf numFmtId="10" fontId="0" fillId="0" borderId="0" xfId="2" applyNumberFormat="1" applyFont="1"/>
    <xf numFmtId="41" fontId="0" fillId="0" borderId="0" xfId="2" applyNumberFormat="1" applyFont="1"/>
    <xf numFmtId="166" fontId="0" fillId="0" borderId="1" xfId="2" applyNumberFormat="1" applyFont="1" applyBorder="1"/>
    <xf numFmtId="41" fontId="0" fillId="0" borderId="11" xfId="0" applyNumberFormat="1" applyBorder="1" applyAlignment="1">
      <alignment horizontal="center"/>
    </xf>
    <xf numFmtId="166" fontId="0" fillId="0" borderId="1" xfId="2" applyNumberFormat="1" applyFont="1" applyBorder="1" applyAlignment="1">
      <alignment horizontal="center"/>
    </xf>
    <xf numFmtId="41" fontId="0" fillId="0" borderId="5" xfId="0" applyNumberFormat="1" applyBorder="1" applyAlignment="1">
      <alignment horizontal="center"/>
    </xf>
    <xf numFmtId="0" fontId="16" fillId="0" borderId="0" xfId="0" applyFont="1" applyAlignment="1">
      <alignment vertical="center"/>
    </xf>
    <xf numFmtId="0" fontId="20" fillId="0" borderId="0" xfId="4" applyAlignment="1">
      <alignment vertical="center"/>
    </xf>
    <xf numFmtId="43" fontId="0" fillId="0" borderId="12" xfId="0" applyNumberFormat="1" applyBorder="1" applyAlignment="1">
      <alignment horizontal="center"/>
    </xf>
    <xf numFmtId="10" fontId="0" fillId="0" borderId="0" xfId="1" applyNumberFormat="1" applyFont="1"/>
    <xf numFmtId="0" fontId="0" fillId="3" borderId="0" xfId="0" applyFill="1" applyAlignment="1">
      <alignment horizontal="center"/>
    </xf>
    <xf numFmtId="0" fontId="0" fillId="9" borderId="1" xfId="0" applyFill="1" applyBorder="1"/>
    <xf numFmtId="41" fontId="0" fillId="9" borderId="5" xfId="1" applyFont="1" applyFill="1" applyBorder="1"/>
    <xf numFmtId="41" fontId="0" fillId="9" borderId="1" xfId="1" applyFont="1" applyFill="1" applyBorder="1"/>
    <xf numFmtId="0" fontId="0" fillId="0" borderId="18" xfId="0" applyBorder="1" applyAlignment="1">
      <alignment horizontal="center" vertical="center"/>
    </xf>
    <xf numFmtId="0" fontId="0" fillId="24" borderId="12" xfId="0" applyFill="1" applyBorder="1"/>
    <xf numFmtId="41" fontId="0" fillId="19" borderId="26" xfId="1" applyFont="1" applyFill="1" applyBorder="1"/>
    <xf numFmtId="41" fontId="0" fillId="0" borderId="4" xfId="1" applyFont="1" applyBorder="1"/>
    <xf numFmtId="41" fontId="0" fillId="0" borderId="24" xfId="1" applyFont="1" applyBorder="1"/>
    <xf numFmtId="41" fontId="0" fillId="19" borderId="27" xfId="1" applyFont="1" applyFill="1" applyBorder="1"/>
    <xf numFmtId="0" fontId="0" fillId="0" borderId="23" xfId="0" applyBorder="1"/>
    <xf numFmtId="9" fontId="0" fillId="0" borderId="22" xfId="0" applyNumberFormat="1" applyBorder="1"/>
    <xf numFmtId="41" fontId="0" fillId="19" borderId="28" xfId="1" applyFont="1" applyFill="1" applyBorder="1"/>
    <xf numFmtId="0" fontId="0" fillId="24" borderId="1" xfId="0" applyFill="1" applyBorder="1"/>
    <xf numFmtId="0" fontId="2" fillId="0" borderId="1" xfId="0" applyFont="1" applyBorder="1" applyAlignment="1"/>
    <xf numFmtId="9" fontId="0" fillId="0" borderId="1" xfId="0" applyNumberFormat="1" applyBorder="1" applyAlignment="1">
      <alignment horizontal="center" vertical="center"/>
    </xf>
    <xf numFmtId="10" fontId="0" fillId="0" borderId="1" xfId="2" applyNumberFormat="1" applyFont="1" applyBorder="1" applyAlignment="1">
      <alignment horizontal="center" vertical="center"/>
    </xf>
    <xf numFmtId="0" fontId="16" fillId="0" borderId="0" xfId="0" applyFont="1" applyAlignment="1"/>
    <xf numFmtId="9" fontId="0" fillId="0" borderId="1" xfId="0" applyNumberFormat="1" applyBorder="1" applyAlignment="1">
      <alignment horizontal="center"/>
    </xf>
    <xf numFmtId="0" fontId="0" fillId="16" borderId="7" xfId="0" applyFill="1" applyBorder="1" applyAlignment="1">
      <alignment horizontal="center"/>
    </xf>
    <xf numFmtId="0" fontId="0" fillId="16" borderId="8" xfId="0" applyFill="1" applyBorder="1" applyAlignment="1">
      <alignment horizontal="center"/>
    </xf>
    <xf numFmtId="9" fontId="0" fillId="16" borderId="9" xfId="0" applyNumberFormat="1" applyFill="1" applyBorder="1"/>
    <xf numFmtId="0" fontId="0" fillId="8" borderId="7" xfId="0" applyFill="1" applyBorder="1" applyAlignment="1">
      <alignment horizontal="center"/>
    </xf>
    <xf numFmtId="0" fontId="0" fillId="8" borderId="8"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4" fillId="17" borderId="7" xfId="0" applyFont="1" applyFill="1" applyBorder="1"/>
    <xf numFmtId="9" fontId="0" fillId="17" borderId="9" xfId="2" applyFont="1" applyFill="1" applyBorder="1"/>
    <xf numFmtId="0" fontId="0" fillId="17" borderId="9" xfId="0" applyFill="1" applyBorder="1"/>
    <xf numFmtId="41" fontId="0" fillId="4" borderId="7" xfId="0" applyNumberFormat="1" applyFill="1" applyBorder="1"/>
    <xf numFmtId="9" fontId="0" fillId="15" borderId="9" xfId="2" applyFont="1" applyFill="1" applyBorder="1"/>
    <xf numFmtId="0" fontId="0" fillId="15" borderId="7" xfId="0" applyFill="1" applyBorder="1" applyAlignment="1">
      <alignment horizontal="left" vertical="center"/>
    </xf>
    <xf numFmtId="41" fontId="0" fillId="15" borderId="9" xfId="1" applyFont="1" applyFill="1" applyBorder="1" applyAlignment="1">
      <alignment horizontal="left" vertical="center"/>
    </xf>
    <xf numFmtId="0" fontId="0" fillId="11" borderId="7" xfId="0" applyFill="1" applyBorder="1" applyAlignment="1">
      <alignment horizontal="left" vertical="center"/>
    </xf>
    <xf numFmtId="41" fontId="0" fillId="11" borderId="9" xfId="1" applyFont="1" applyFill="1" applyBorder="1" applyAlignment="1">
      <alignment horizontal="left" vertical="center"/>
    </xf>
    <xf numFmtId="0" fontId="0" fillId="17" borderId="7" xfId="0" applyFill="1" applyBorder="1" applyAlignment="1">
      <alignment horizontal="left" vertical="center"/>
    </xf>
    <xf numFmtId="10" fontId="0" fillId="17" borderId="9" xfId="2" applyNumberFormat="1" applyFont="1" applyFill="1" applyBorder="1" applyAlignment="1">
      <alignment horizontal="left" vertical="center"/>
    </xf>
    <xf numFmtId="10" fontId="0" fillId="17" borderId="9" xfId="0" applyNumberFormat="1" applyFill="1" applyBorder="1"/>
    <xf numFmtId="0" fontId="0" fillId="10" borderId="7" xfId="0" applyFill="1" applyBorder="1" applyAlignment="1">
      <alignment horizontal="center"/>
    </xf>
    <xf numFmtId="0" fontId="0" fillId="10" borderId="8" xfId="0" applyFill="1" applyBorder="1" applyAlignment="1">
      <alignment horizontal="center"/>
    </xf>
    <xf numFmtId="0" fontId="0" fillId="10" borderId="9" xfId="0" applyFill="1" applyBorder="1"/>
    <xf numFmtId="10" fontId="0" fillId="8" borderId="9" xfId="2" applyNumberFormat="1" applyFont="1" applyFill="1" applyBorder="1"/>
    <xf numFmtId="0" fontId="0" fillId="9" borderId="7" xfId="0" applyFill="1" applyBorder="1"/>
    <xf numFmtId="41" fontId="0" fillId="17" borderId="9" xfId="1" applyFont="1" applyFill="1" applyBorder="1" applyAlignment="1">
      <alignment horizontal="center"/>
    </xf>
    <xf numFmtId="0" fontId="0" fillId="9" borderId="9" xfId="0" applyFill="1" applyBorder="1" applyAlignment="1">
      <alignment horizontal="center"/>
    </xf>
    <xf numFmtId="41" fontId="0" fillId="11" borderId="9" xfId="1" applyFont="1" applyFill="1" applyBorder="1" applyAlignment="1">
      <alignment horizontal="center"/>
    </xf>
    <xf numFmtId="0" fontId="0" fillId="25" borderId="7" xfId="0" applyFill="1" applyBorder="1"/>
    <xf numFmtId="8" fontId="0" fillId="25" borderId="9" xfId="0" applyNumberFormat="1" applyFill="1" applyBorder="1"/>
  </cellXfs>
  <cellStyles count="5">
    <cellStyle name="Bueno" xfId="3" builtinId="26"/>
    <cellStyle name="Hipervínculo" xfId="4" builtinId="8"/>
    <cellStyle name="Millares [0]" xfId="1" builtinId="6"/>
    <cellStyle name="Normal" xfId="0" builtinId="0"/>
    <cellStyle name="Porcentaje" xfId="2" builtinId="5"/>
  </cellStyles>
  <dxfs count="0"/>
  <tableStyles count="0" defaultTableStyle="TableStyleMedium2"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cuota </c:v>
          </c:tx>
          <c:spPr>
            <a:ln w="19050" cap="rnd">
              <a:solidFill>
                <a:schemeClr val="accent2"/>
              </a:solidFill>
              <a:round/>
            </a:ln>
            <a:effectLst/>
          </c:spPr>
          <c:marker>
            <c:symbol val="none"/>
          </c:marker>
          <c:xVal>
            <c:numRef>
              <c:f>'55'!$B$13:$B$85</c:f>
              <c:numCache>
                <c:formatCode>General</c:formatCode>
                <c:ptCount val="7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numCache>
            </c:numRef>
          </c:xVal>
          <c:yVal>
            <c:numRef>
              <c:f>'55'!$C$13:$C$85</c:f>
              <c:numCache>
                <c:formatCode>_(* #,##0_);_(* \(#,##0\);_(* "-"_);_(@_)</c:formatCode>
                <c:ptCount val="73"/>
                <c:pt idx="1">
                  <c:v>565570.94622359192</c:v>
                </c:pt>
                <c:pt idx="2">
                  <c:v>582538.07461029966</c:v>
                </c:pt>
                <c:pt idx="3">
                  <c:v>600014.21684860869</c:v>
                </c:pt>
                <c:pt idx="4">
                  <c:v>618014.64335406688</c:v>
                </c:pt>
                <c:pt idx="5">
                  <c:v>636555.08265468886</c:v>
                </c:pt>
                <c:pt idx="6">
                  <c:v>655651.73513432953</c:v>
                </c:pt>
                <c:pt idx="7">
                  <c:v>675321.28718835942</c:v>
                </c:pt>
                <c:pt idx="8">
                  <c:v>695580.92580401024</c:v>
                </c:pt>
                <c:pt idx="9">
                  <c:v>716448.35357813048</c:v>
                </c:pt>
                <c:pt idx="10">
                  <c:v>737941.80418547441</c:v>
                </c:pt>
                <c:pt idx="11">
                  <c:v>760080.05831103865</c:v>
                </c:pt>
                <c:pt idx="12">
                  <c:v>782882.46006036981</c:v>
                </c:pt>
                <c:pt idx="13">
                  <c:v>806368.9338621808</c:v>
                </c:pt>
                <c:pt idx="14">
                  <c:v>830560.0018780462</c:v>
                </c:pt>
                <c:pt idx="15">
                  <c:v>855476.80193438765</c:v>
                </c:pt>
                <c:pt idx="16">
                  <c:v>881141.10599241941</c:v>
                </c:pt>
                <c:pt idx="17">
                  <c:v>907575.3391721918</c:v>
                </c:pt>
                <c:pt idx="18">
                  <c:v>934802.59934735752</c:v>
                </c:pt>
                <c:pt idx="19">
                  <c:v>962846.67732777831</c:v>
                </c:pt>
                <c:pt idx="20">
                  <c:v>991732.07764761162</c:v>
                </c:pt>
                <c:pt idx="21">
                  <c:v>1021484.0399770399</c:v>
                </c:pt>
                <c:pt idx="22">
                  <c:v>1052128.561176351</c:v>
                </c:pt>
                <c:pt idx="23">
                  <c:v>1083692.4180116416</c:v>
                </c:pt>
                <c:pt idx="24">
                  <c:v>1116203.1905519909</c:v>
                </c:pt>
                <c:pt idx="25">
                  <c:v>1240000.5408354322</c:v>
                </c:pt>
                <c:pt idx="26">
                  <c:v>1240000.5408354322</c:v>
                </c:pt>
                <c:pt idx="27">
                  <c:v>1240000.5408354322</c:v>
                </c:pt>
                <c:pt idx="28">
                  <c:v>1240000.5408354322</c:v>
                </c:pt>
                <c:pt idx="29">
                  <c:v>1240000.5408354322</c:v>
                </c:pt>
                <c:pt idx="30">
                  <c:v>1240000.5408354322</c:v>
                </c:pt>
                <c:pt idx="31">
                  <c:v>1240000.5408354322</c:v>
                </c:pt>
                <c:pt idx="32">
                  <c:v>1240000.5408354322</c:v>
                </c:pt>
                <c:pt idx="33">
                  <c:v>1240000.5408354322</c:v>
                </c:pt>
                <c:pt idx="34">
                  <c:v>1240000.5408354322</c:v>
                </c:pt>
                <c:pt idx="35">
                  <c:v>1240000.5408354322</c:v>
                </c:pt>
                <c:pt idx="36">
                  <c:v>1314400.5732855583</c:v>
                </c:pt>
                <c:pt idx="37">
                  <c:v>1314400.5732855583</c:v>
                </c:pt>
                <c:pt idx="38">
                  <c:v>1314400.5732855583</c:v>
                </c:pt>
                <c:pt idx="39">
                  <c:v>1314400.5732855583</c:v>
                </c:pt>
                <c:pt idx="40">
                  <c:v>1314400.5732855583</c:v>
                </c:pt>
                <c:pt idx="41">
                  <c:v>1314400.5732855583</c:v>
                </c:pt>
                <c:pt idx="42">
                  <c:v>1314400.5732855583</c:v>
                </c:pt>
                <c:pt idx="43">
                  <c:v>1314400.5732855583</c:v>
                </c:pt>
                <c:pt idx="44">
                  <c:v>1314400.5732855583</c:v>
                </c:pt>
                <c:pt idx="45">
                  <c:v>1314400.5732855583</c:v>
                </c:pt>
                <c:pt idx="46">
                  <c:v>1314400.5732855583</c:v>
                </c:pt>
                <c:pt idx="47">
                  <c:v>1314400.5732855583</c:v>
                </c:pt>
                <c:pt idx="48">
                  <c:v>1476860.4841436534</c:v>
                </c:pt>
                <c:pt idx="49">
                  <c:v>1476860.4841436534</c:v>
                </c:pt>
                <c:pt idx="50">
                  <c:v>1476860.4841436534</c:v>
                </c:pt>
                <c:pt idx="51">
                  <c:v>1476860.4841436534</c:v>
                </c:pt>
                <c:pt idx="52">
                  <c:v>1476860.4841436534</c:v>
                </c:pt>
                <c:pt idx="53">
                  <c:v>1476860.4841436534</c:v>
                </c:pt>
                <c:pt idx="54">
                  <c:v>1476860.4841436534</c:v>
                </c:pt>
                <c:pt idx="55">
                  <c:v>1476860.4841436534</c:v>
                </c:pt>
                <c:pt idx="56">
                  <c:v>1476860.4841436534</c:v>
                </c:pt>
                <c:pt idx="57">
                  <c:v>1476860.4841436534</c:v>
                </c:pt>
                <c:pt idx="58">
                  <c:v>1476860.4841436534</c:v>
                </c:pt>
                <c:pt idx="59">
                  <c:v>1476860.4841436534</c:v>
                </c:pt>
                <c:pt idx="60">
                  <c:v>1758964.4663828379</c:v>
                </c:pt>
                <c:pt idx="61">
                  <c:v>1758964.4663828379</c:v>
                </c:pt>
                <c:pt idx="62">
                  <c:v>1758964.4663828379</c:v>
                </c:pt>
                <c:pt idx="63">
                  <c:v>1758964.4663828379</c:v>
                </c:pt>
                <c:pt idx="64">
                  <c:v>1758964.4663828379</c:v>
                </c:pt>
                <c:pt idx="65">
                  <c:v>1758964.4663828379</c:v>
                </c:pt>
                <c:pt idx="66">
                  <c:v>1758964.4663828379</c:v>
                </c:pt>
                <c:pt idx="67">
                  <c:v>1758964.4663828379</c:v>
                </c:pt>
                <c:pt idx="68">
                  <c:v>1758964.4663828379</c:v>
                </c:pt>
                <c:pt idx="69">
                  <c:v>1758964.4663828379</c:v>
                </c:pt>
                <c:pt idx="70">
                  <c:v>1758964.4663828379</c:v>
                </c:pt>
                <c:pt idx="71">
                  <c:v>1758964.4663828379</c:v>
                </c:pt>
                <c:pt idx="72">
                  <c:v>2220652.1122670281</c:v>
                </c:pt>
              </c:numCache>
            </c:numRef>
          </c:yVal>
          <c:smooth val="1"/>
          <c:extLst>
            <c:ext xmlns:c16="http://schemas.microsoft.com/office/drawing/2014/chart" uri="{C3380CC4-5D6E-409C-BE32-E72D297353CC}">
              <c16:uniqueId val="{00000000-CE7C-4F09-802F-BC63132C0209}"/>
            </c:ext>
          </c:extLst>
        </c:ser>
        <c:dLbls>
          <c:showLegendKey val="0"/>
          <c:showVal val="0"/>
          <c:showCatName val="0"/>
          <c:showSerName val="0"/>
          <c:showPercent val="0"/>
          <c:showBubbleSize val="0"/>
        </c:dLbls>
        <c:axId val="466540984"/>
        <c:axId val="466541640"/>
      </c:scatterChart>
      <c:valAx>
        <c:axId val="466540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Tiempo</a:t>
                </a:r>
                <a:r>
                  <a:rPr lang="es-CO" baseline="0"/>
                  <a:t> (meses)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41640"/>
        <c:crosses val="autoZero"/>
        <c:crossBetween val="midCat"/>
      </c:valAx>
      <c:valAx>
        <c:axId val="46654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Cuota</a:t>
                </a:r>
                <a:r>
                  <a:rPr lang="es-CO" baseline="0"/>
                  <a:t> </a:t>
                </a:r>
                <a:endParaRPr lang="es-CO"/>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409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733425</xdr:colOff>
      <xdr:row>28</xdr:row>
      <xdr:rowOff>180975</xdr:rowOff>
    </xdr:from>
    <xdr:to>
      <xdr:col>7</xdr:col>
      <xdr:colOff>0</xdr:colOff>
      <xdr:row>29</xdr:row>
      <xdr:rowOff>0</xdr:rowOff>
    </xdr:to>
    <xdr:cxnSp macro="">
      <xdr:nvCxnSpPr>
        <xdr:cNvPr id="2" name="Conector recto 1"/>
        <xdr:cNvCxnSpPr/>
      </xdr:nvCxnSpPr>
      <xdr:spPr>
        <a:xfrm>
          <a:off x="1495425" y="5715000"/>
          <a:ext cx="383857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27</xdr:row>
      <xdr:rowOff>180975</xdr:rowOff>
    </xdr:from>
    <xdr:to>
      <xdr:col>1</xdr:col>
      <xdr:colOff>752475</xdr:colOff>
      <xdr:row>29</xdr:row>
      <xdr:rowOff>180975</xdr:rowOff>
    </xdr:to>
    <xdr:cxnSp macro="">
      <xdr:nvCxnSpPr>
        <xdr:cNvPr id="3" name="Conector recto 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28</xdr:row>
      <xdr:rowOff>0</xdr:rowOff>
    </xdr:from>
    <xdr:to>
      <xdr:col>3</xdr:col>
      <xdr:colOff>0</xdr:colOff>
      <xdr:row>30</xdr:row>
      <xdr:rowOff>0</xdr:rowOff>
    </xdr:to>
    <xdr:cxnSp macro="">
      <xdr:nvCxnSpPr>
        <xdr:cNvPr id="4" name="Conector recto 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28</xdr:row>
      <xdr:rowOff>9525</xdr:rowOff>
    </xdr:from>
    <xdr:to>
      <xdr:col>4</xdr:col>
      <xdr:colOff>9525</xdr:colOff>
      <xdr:row>30</xdr:row>
      <xdr:rowOff>9525</xdr:rowOff>
    </xdr:to>
    <xdr:cxnSp macro="">
      <xdr:nvCxnSpPr>
        <xdr:cNvPr id="5" name="Conector recto 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28</xdr:row>
      <xdr:rowOff>0</xdr:rowOff>
    </xdr:from>
    <xdr:to>
      <xdr:col>5</xdr:col>
      <xdr:colOff>0</xdr:colOff>
      <xdr:row>30</xdr:row>
      <xdr:rowOff>0</xdr:rowOff>
    </xdr:to>
    <xdr:cxnSp macro="">
      <xdr:nvCxnSpPr>
        <xdr:cNvPr id="6" name="Conector recto 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28</xdr:row>
      <xdr:rowOff>0</xdr:rowOff>
    </xdr:from>
    <xdr:to>
      <xdr:col>6</xdr:col>
      <xdr:colOff>0</xdr:colOff>
      <xdr:row>30</xdr:row>
      <xdr:rowOff>0</xdr:rowOff>
    </xdr:to>
    <xdr:cxnSp macro="">
      <xdr:nvCxnSpPr>
        <xdr:cNvPr id="7" name="Conector recto 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28</xdr:row>
      <xdr:rowOff>0</xdr:rowOff>
    </xdr:from>
    <xdr:to>
      <xdr:col>7</xdr:col>
      <xdr:colOff>0</xdr:colOff>
      <xdr:row>30</xdr:row>
      <xdr:rowOff>0</xdr:rowOff>
    </xdr:to>
    <xdr:cxnSp macro="">
      <xdr:nvCxnSpPr>
        <xdr:cNvPr id="8" name="Conector recto 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21</xdr:row>
      <xdr:rowOff>0</xdr:rowOff>
    </xdr:from>
    <xdr:to>
      <xdr:col>2</xdr:col>
      <xdr:colOff>0</xdr:colOff>
      <xdr:row>27</xdr:row>
      <xdr:rowOff>180975</xdr:rowOff>
    </xdr:to>
    <xdr:cxnSp macro="">
      <xdr:nvCxnSpPr>
        <xdr:cNvPr id="16" name="Conector recto de flecha 1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29</xdr:row>
      <xdr:rowOff>180978</xdr:rowOff>
    </xdr:from>
    <xdr:to>
      <xdr:col>7</xdr:col>
      <xdr:colOff>4</xdr:colOff>
      <xdr:row>33</xdr:row>
      <xdr:rowOff>9525</xdr:rowOff>
    </xdr:to>
    <xdr:cxnSp macro="">
      <xdr:nvCxnSpPr>
        <xdr:cNvPr id="21" name="Conector recto de flecha 20"/>
        <xdr:cNvCxnSpPr/>
      </xdr:nvCxnSpPr>
      <xdr:spPr>
        <a:xfrm flipH="1">
          <a:off x="4572000" y="64770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447675</xdr:colOff>
      <xdr:row>19</xdr:row>
      <xdr:rowOff>161925</xdr:rowOff>
    </xdr:from>
    <xdr:ext cx="649217" cy="264560"/>
    <xdr:sp macro="" textlink="">
      <xdr:nvSpPr>
        <xdr:cNvPr id="32" name="CuadroTexto 31"/>
        <xdr:cNvSpPr txBox="1"/>
      </xdr:nvSpPr>
      <xdr:spPr>
        <a:xfrm>
          <a:off x="1209675" y="3981450"/>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300.000</a:t>
          </a:r>
        </a:p>
      </xdr:txBody>
    </xdr:sp>
    <xdr:clientData/>
  </xdr:oneCellAnchor>
  <xdr:oneCellAnchor>
    <xdr:from>
      <xdr:col>4</xdr:col>
      <xdr:colOff>476250</xdr:colOff>
      <xdr:row>24</xdr:row>
      <xdr:rowOff>142875</xdr:rowOff>
    </xdr:from>
    <xdr:ext cx="565283" cy="264560"/>
    <xdr:sp macro="" textlink="">
      <xdr:nvSpPr>
        <xdr:cNvPr id="39" name="CuadroTexto 38"/>
        <xdr:cNvSpPr txBox="1"/>
      </xdr:nvSpPr>
      <xdr:spPr>
        <a:xfrm>
          <a:off x="3524250" y="49149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4</xdr:col>
      <xdr:colOff>409575</xdr:colOff>
      <xdr:row>33</xdr:row>
      <xdr:rowOff>57150</xdr:rowOff>
    </xdr:from>
    <xdr:ext cx="765338" cy="264560"/>
    <xdr:sp macro="" textlink="">
      <xdr:nvSpPr>
        <xdr:cNvPr id="40" name="CuadroTexto 39"/>
        <xdr:cNvSpPr txBox="1"/>
      </xdr:nvSpPr>
      <xdr:spPr>
        <a:xfrm>
          <a:off x="3457575" y="6543675"/>
          <a:ext cx="765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89.495</a:t>
          </a:r>
          <a:endParaRPr lang="en-US" sz="1100" b="1"/>
        </a:p>
      </xdr:txBody>
    </xdr:sp>
    <xdr:clientData/>
  </xdr:oneCellAnchor>
  <xdr:twoCellAnchor>
    <xdr:from>
      <xdr:col>6</xdr:col>
      <xdr:colOff>0</xdr:colOff>
      <xdr:row>29</xdr:row>
      <xdr:rowOff>180978</xdr:rowOff>
    </xdr:from>
    <xdr:to>
      <xdr:col>6</xdr:col>
      <xdr:colOff>4</xdr:colOff>
      <xdr:row>33</xdr:row>
      <xdr:rowOff>9525</xdr:rowOff>
    </xdr:to>
    <xdr:cxnSp macro="">
      <xdr:nvCxnSpPr>
        <xdr:cNvPr id="43" name="Conector recto de flecha 42"/>
        <xdr:cNvCxnSpPr/>
      </xdr:nvCxnSpPr>
      <xdr:spPr>
        <a:xfrm flipH="1">
          <a:off x="4572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29</xdr:row>
      <xdr:rowOff>180978</xdr:rowOff>
    </xdr:from>
    <xdr:to>
      <xdr:col>5</xdr:col>
      <xdr:colOff>4</xdr:colOff>
      <xdr:row>33</xdr:row>
      <xdr:rowOff>9525</xdr:rowOff>
    </xdr:to>
    <xdr:cxnSp macro="">
      <xdr:nvCxnSpPr>
        <xdr:cNvPr id="44" name="Conector recto de flecha 43"/>
        <xdr:cNvCxnSpPr/>
      </xdr:nvCxnSpPr>
      <xdr:spPr>
        <a:xfrm flipH="1">
          <a:off x="3810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29</xdr:row>
      <xdr:rowOff>171453</xdr:rowOff>
    </xdr:from>
    <xdr:to>
      <xdr:col>4</xdr:col>
      <xdr:colOff>9529</xdr:colOff>
      <xdr:row>33</xdr:row>
      <xdr:rowOff>0</xdr:rowOff>
    </xdr:to>
    <xdr:cxnSp macro="">
      <xdr:nvCxnSpPr>
        <xdr:cNvPr id="45" name="Conector recto de flecha 44"/>
        <xdr:cNvCxnSpPr/>
      </xdr:nvCxnSpPr>
      <xdr:spPr>
        <a:xfrm flipH="1">
          <a:off x="3057525"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171453</xdr:rowOff>
    </xdr:from>
    <xdr:to>
      <xdr:col>3</xdr:col>
      <xdr:colOff>4</xdr:colOff>
      <xdr:row>33</xdr:row>
      <xdr:rowOff>0</xdr:rowOff>
    </xdr:to>
    <xdr:cxnSp macro="">
      <xdr:nvCxnSpPr>
        <xdr:cNvPr id="46" name="Conector recto de flecha 45"/>
        <xdr:cNvCxnSpPr/>
      </xdr:nvCxnSpPr>
      <xdr:spPr>
        <a:xfrm flipH="1">
          <a:off x="2286000"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647700</xdr:colOff>
      <xdr:row>26</xdr:row>
      <xdr:rowOff>161925</xdr:rowOff>
    </xdr:from>
    <xdr:ext cx="283873" cy="264560"/>
    <xdr:sp macro="" textlink="">
      <xdr:nvSpPr>
        <xdr:cNvPr id="47" name="CuadroTexto 46"/>
        <xdr:cNvSpPr txBox="1"/>
      </xdr:nvSpPr>
      <xdr:spPr>
        <a:xfrm>
          <a:off x="2171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4</xdr:col>
      <xdr:colOff>638175</xdr:colOff>
      <xdr:row>26</xdr:row>
      <xdr:rowOff>171450</xdr:rowOff>
    </xdr:from>
    <xdr:ext cx="283873" cy="264560"/>
    <xdr:sp macro="" textlink="">
      <xdr:nvSpPr>
        <xdr:cNvPr id="48" name="CuadroTexto 47"/>
        <xdr:cNvSpPr txBox="1"/>
      </xdr:nvSpPr>
      <xdr:spPr>
        <a:xfrm>
          <a:off x="3686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5</xdr:col>
      <xdr:colOff>638175</xdr:colOff>
      <xdr:row>26</xdr:row>
      <xdr:rowOff>171450</xdr:rowOff>
    </xdr:from>
    <xdr:ext cx="283873" cy="264560"/>
    <xdr:sp macro="" textlink="">
      <xdr:nvSpPr>
        <xdr:cNvPr id="49" name="CuadroTexto 48"/>
        <xdr:cNvSpPr txBox="1"/>
      </xdr:nvSpPr>
      <xdr:spPr>
        <a:xfrm>
          <a:off x="4448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6</xdr:col>
      <xdr:colOff>647700</xdr:colOff>
      <xdr:row>26</xdr:row>
      <xdr:rowOff>180975</xdr:rowOff>
    </xdr:from>
    <xdr:ext cx="283873" cy="264560"/>
    <xdr:sp macro="" textlink="">
      <xdr:nvSpPr>
        <xdr:cNvPr id="50" name="CuadroTexto 49"/>
        <xdr:cNvSpPr txBox="1"/>
      </xdr:nvSpPr>
      <xdr:spPr>
        <a:xfrm>
          <a:off x="5219700" y="53340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3</xdr:col>
      <xdr:colOff>647700</xdr:colOff>
      <xdr:row>26</xdr:row>
      <xdr:rowOff>161925</xdr:rowOff>
    </xdr:from>
    <xdr:ext cx="283873" cy="264560"/>
    <xdr:sp macro="" textlink="">
      <xdr:nvSpPr>
        <xdr:cNvPr id="51" name="CuadroTexto 50"/>
        <xdr:cNvSpPr txBox="1"/>
      </xdr:nvSpPr>
      <xdr:spPr>
        <a:xfrm>
          <a:off x="2933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1</xdr:col>
      <xdr:colOff>628650</xdr:colOff>
      <xdr:row>29</xdr:row>
      <xdr:rowOff>114300</xdr:rowOff>
    </xdr:from>
    <xdr:ext cx="283873" cy="264560"/>
    <xdr:sp macro="" textlink="">
      <xdr:nvSpPr>
        <xdr:cNvPr id="52" name="CuadroTexto 51"/>
        <xdr:cNvSpPr txBox="1"/>
      </xdr:nvSpPr>
      <xdr:spPr>
        <a:xfrm>
          <a:off x="1390650" y="58388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8</xdr:col>
      <xdr:colOff>304801</xdr:colOff>
      <xdr:row>4</xdr:row>
      <xdr:rowOff>104775</xdr:rowOff>
    </xdr:from>
    <xdr:ext cx="1381124" cy="496546"/>
    <mc:AlternateContent xmlns:mc="http://schemas.openxmlformats.org/markup-compatibility/2006" xmlns:a14="http://schemas.microsoft.com/office/drawing/2010/main">
      <mc:Choice Requires="a14">
        <xdr:sp macro="" textlink="">
          <xdr:nvSpPr>
            <xdr:cNvPr id="9" name="CuadroTexto 8"/>
            <xdr:cNvSpPr txBox="1"/>
          </xdr:nvSpPr>
          <xdr:spPr>
            <a:xfrm>
              <a:off x="6400801" y="1019175"/>
              <a:ext cx="1381124"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a:t>A=</a:t>
              </a:r>
              <a14:m>
                <m:oMath xmlns:m="http://schemas.openxmlformats.org/officeDocument/2006/math">
                  <m:f>
                    <m:fPr>
                      <m:ctrlPr>
                        <a:rPr lang="en-US" sz="1600" i="1">
                          <a:latin typeface="Cambria Math" panose="02040503050406030204" pitchFamily="18" charset="0"/>
                        </a:rPr>
                      </m:ctrlPr>
                    </m:fPr>
                    <m:num>
                      <m:r>
                        <a:rPr lang="es-CO" sz="1600" b="0" i="1">
                          <a:latin typeface="Cambria Math" panose="02040503050406030204" pitchFamily="18" charset="0"/>
                        </a:rPr>
                        <m:t>𝑃</m:t>
                      </m:r>
                    </m:num>
                    <m:den>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s-CO" sz="1600" b="0" i="1">
                                  <a:latin typeface="Cambria Math" panose="02040503050406030204" pitchFamily="18" charset="0"/>
                                </a:rPr>
                                <m:t>(1+</m:t>
                              </m:r>
                              <m:r>
                                <a:rPr lang="es-CO" sz="1600" b="0" i="1">
                                  <a:latin typeface="Cambria Math" panose="02040503050406030204" pitchFamily="18" charset="0"/>
                                </a:rPr>
                                <m:t>𝑖</m:t>
                              </m:r>
                              <m:r>
                                <a:rPr lang="es-CO" sz="1600" b="0" i="1">
                                  <a:latin typeface="Cambria Math" panose="02040503050406030204" pitchFamily="18" charset="0"/>
                                </a:rPr>
                                <m:t>)</m:t>
                              </m:r>
                            </m:e>
                            <m:sup>
                              <m:r>
                                <a:rPr lang="es-CO" sz="1600" b="0" i="1">
                                  <a:latin typeface="Cambria Math" panose="02040503050406030204" pitchFamily="18" charset="0"/>
                                </a:rPr>
                                <m:t>𝑛</m:t>
                              </m:r>
                            </m:sup>
                          </m:sSup>
                          <m:r>
                            <a:rPr lang="es-CO" sz="1600" b="0" i="1">
                              <a:latin typeface="Cambria Math" panose="02040503050406030204" pitchFamily="18" charset="0"/>
                            </a:rPr>
                            <m:t>−1</m:t>
                          </m:r>
                        </m:num>
                        <m:den>
                          <m:r>
                            <a:rPr lang="es-CO" sz="1600" b="0" i="1">
                              <a:latin typeface="Cambria Math" panose="02040503050406030204" pitchFamily="18" charset="0"/>
                            </a:rPr>
                            <m:t>𝑖</m:t>
                          </m:r>
                          <m:r>
                            <a:rPr lang="es-CO" sz="1600" b="0" i="1">
                              <a:latin typeface="Cambria Math" panose="02040503050406030204" pitchFamily="18" charset="0"/>
                            </a:rPr>
                            <m:t>∗</m:t>
                          </m:r>
                          <m:sSup>
                            <m:sSupPr>
                              <m:ctrlPr>
                                <a:rPr lang="es-CO" sz="1600" b="0" i="1">
                                  <a:latin typeface="Cambria Math" panose="02040503050406030204" pitchFamily="18" charset="0"/>
                                </a:rPr>
                              </m:ctrlPr>
                            </m:sSupPr>
                            <m:e>
                              <m:r>
                                <a:rPr lang="es-CO" sz="1600" b="0" i="1">
                                  <a:latin typeface="Cambria Math" panose="02040503050406030204" pitchFamily="18" charset="0"/>
                                </a:rPr>
                                <m:t>(1+</m:t>
                              </m:r>
                              <m:r>
                                <a:rPr lang="es-CO" sz="1600" b="0" i="1">
                                  <a:latin typeface="Cambria Math" panose="02040503050406030204" pitchFamily="18" charset="0"/>
                                </a:rPr>
                                <m:t>𝑖</m:t>
                              </m:r>
                              <m:r>
                                <a:rPr lang="es-CO" sz="1600" b="0" i="1">
                                  <a:latin typeface="Cambria Math" panose="02040503050406030204" pitchFamily="18" charset="0"/>
                                </a:rPr>
                                <m:t>)</m:t>
                              </m:r>
                            </m:e>
                            <m:sup>
                              <m:r>
                                <a:rPr lang="es-CO" sz="1600" b="0" i="1">
                                  <a:latin typeface="Cambria Math" panose="02040503050406030204" pitchFamily="18" charset="0"/>
                                </a:rPr>
                                <m:t>𝑛</m:t>
                              </m:r>
                            </m:sup>
                          </m:sSup>
                        </m:den>
                      </m:f>
                    </m:den>
                  </m:f>
                </m:oMath>
              </a14:m>
              <a:endParaRPr lang="en-US" sz="1600"/>
            </a:p>
          </xdr:txBody>
        </xdr:sp>
      </mc:Choice>
      <mc:Fallback xmlns="">
        <xdr:sp macro="" textlink="">
          <xdr:nvSpPr>
            <xdr:cNvPr id="9" name="CuadroTexto 8"/>
            <xdr:cNvSpPr txBox="1"/>
          </xdr:nvSpPr>
          <xdr:spPr>
            <a:xfrm>
              <a:off x="6400801" y="1019175"/>
              <a:ext cx="1381124"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a:t>A=</a:t>
              </a:r>
              <a:r>
                <a:rPr lang="es-CO" sz="1600" b="0" i="0">
                  <a:latin typeface="Cambria Math" panose="02040503050406030204" pitchFamily="18" charset="0"/>
                </a:rPr>
                <a:t>𝑃</a:t>
              </a:r>
              <a:r>
                <a:rPr lang="en-US" sz="1600" b="0" i="0">
                  <a:latin typeface="Cambria Math" panose="02040503050406030204" pitchFamily="18" charset="0"/>
                </a:rPr>
                <a:t>/((〖</a:t>
              </a:r>
              <a:r>
                <a:rPr lang="es-CO" sz="1600" b="0" i="0">
                  <a:latin typeface="Cambria Math" panose="02040503050406030204" pitchFamily="18" charset="0"/>
                </a:rPr>
                <a:t>(1+𝑖)</a:t>
              </a:r>
              <a:r>
                <a:rPr lang="en-US" sz="1600" b="0" i="0">
                  <a:latin typeface="Cambria Math" panose="02040503050406030204" pitchFamily="18" charset="0"/>
                </a:rPr>
                <a:t>〗^</a:t>
              </a:r>
              <a:r>
                <a:rPr lang="es-CO" sz="1600" b="0" i="0">
                  <a:latin typeface="Cambria Math" panose="02040503050406030204" pitchFamily="18" charset="0"/>
                </a:rPr>
                <a:t>𝑛−1</a:t>
              </a:r>
              <a:r>
                <a:rPr lang="en-US" sz="1600" b="0" i="0">
                  <a:latin typeface="Cambria Math" panose="02040503050406030204" pitchFamily="18" charset="0"/>
                </a:rPr>
                <a:t>)/(</a:t>
              </a:r>
              <a:r>
                <a:rPr lang="es-CO" sz="1600" b="0" i="0">
                  <a:latin typeface="Cambria Math" panose="02040503050406030204" pitchFamily="18" charset="0"/>
                </a:rPr>
                <a:t>𝑖∗〖(1+𝑖)〗^𝑛</a:t>
              </a:r>
              <a:r>
                <a:rPr lang="en-US" sz="1600" b="0" i="0">
                  <a:latin typeface="Cambria Math" panose="02040503050406030204" pitchFamily="18" charset="0"/>
                </a:rPr>
                <a:t> ))</a:t>
              </a:r>
              <a:endParaRPr lang="en-US" sz="16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13</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twoCellAnchor>
    <xdr:from>
      <xdr:col>2</xdr:col>
      <xdr:colOff>9525</xdr:colOff>
      <xdr:row>39</xdr:row>
      <xdr:rowOff>171450</xdr:rowOff>
    </xdr:from>
    <xdr:to>
      <xdr:col>10</xdr:col>
      <xdr:colOff>28575</xdr:colOff>
      <xdr:row>39</xdr:row>
      <xdr:rowOff>180975</xdr:rowOff>
    </xdr:to>
    <xdr:cxnSp macro="">
      <xdr:nvCxnSpPr>
        <xdr:cNvPr id="42" name="Conector recto 41"/>
        <xdr:cNvCxnSpPr/>
      </xdr:nvCxnSpPr>
      <xdr:spPr>
        <a:xfrm flipV="1">
          <a:off x="1533525" y="6848475"/>
          <a:ext cx="5353050"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38</xdr:row>
      <xdr:rowOff>180975</xdr:rowOff>
    </xdr:from>
    <xdr:to>
      <xdr:col>1</xdr:col>
      <xdr:colOff>752475</xdr:colOff>
      <xdr:row>40</xdr:row>
      <xdr:rowOff>180975</xdr:rowOff>
    </xdr:to>
    <xdr:cxnSp macro="">
      <xdr:nvCxnSpPr>
        <xdr:cNvPr id="43" name="Conector recto 4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0</xdr:rowOff>
    </xdr:from>
    <xdr:to>
      <xdr:col>3</xdr:col>
      <xdr:colOff>0</xdr:colOff>
      <xdr:row>41</xdr:row>
      <xdr:rowOff>0</xdr:rowOff>
    </xdr:to>
    <xdr:cxnSp macro="">
      <xdr:nvCxnSpPr>
        <xdr:cNvPr id="44" name="Conector recto 4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39</xdr:row>
      <xdr:rowOff>9525</xdr:rowOff>
    </xdr:from>
    <xdr:to>
      <xdr:col>4</xdr:col>
      <xdr:colOff>9525</xdr:colOff>
      <xdr:row>41</xdr:row>
      <xdr:rowOff>9525</xdr:rowOff>
    </xdr:to>
    <xdr:cxnSp macro="">
      <xdr:nvCxnSpPr>
        <xdr:cNvPr id="45" name="Conector recto 4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39</xdr:row>
      <xdr:rowOff>0</xdr:rowOff>
    </xdr:from>
    <xdr:to>
      <xdr:col>5</xdr:col>
      <xdr:colOff>0</xdr:colOff>
      <xdr:row>41</xdr:row>
      <xdr:rowOff>0</xdr:rowOff>
    </xdr:to>
    <xdr:cxnSp macro="">
      <xdr:nvCxnSpPr>
        <xdr:cNvPr id="46" name="Conector recto 4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39</xdr:row>
      <xdr:rowOff>0</xdr:rowOff>
    </xdr:from>
    <xdr:to>
      <xdr:col>7</xdr:col>
      <xdr:colOff>0</xdr:colOff>
      <xdr:row>41</xdr:row>
      <xdr:rowOff>0</xdr:rowOff>
    </xdr:to>
    <xdr:cxnSp macro="">
      <xdr:nvCxnSpPr>
        <xdr:cNvPr id="47" name="Conector recto 4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39</xdr:row>
      <xdr:rowOff>0</xdr:rowOff>
    </xdr:from>
    <xdr:to>
      <xdr:col>8</xdr:col>
      <xdr:colOff>0</xdr:colOff>
      <xdr:row>41</xdr:row>
      <xdr:rowOff>0</xdr:rowOff>
    </xdr:to>
    <xdr:cxnSp macro="">
      <xdr:nvCxnSpPr>
        <xdr:cNvPr id="48" name="Conector recto 4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39</xdr:row>
      <xdr:rowOff>9525</xdr:rowOff>
    </xdr:from>
    <xdr:to>
      <xdr:col>9</xdr:col>
      <xdr:colOff>0</xdr:colOff>
      <xdr:row>41</xdr:row>
      <xdr:rowOff>9525</xdr:rowOff>
    </xdr:to>
    <xdr:cxnSp macro="">
      <xdr:nvCxnSpPr>
        <xdr:cNvPr id="49" name="Conector recto 48"/>
        <xdr:cNvCxnSpPr/>
      </xdr:nvCxnSpPr>
      <xdr:spPr>
        <a:xfrm>
          <a:off x="5334000"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39</xdr:row>
      <xdr:rowOff>0</xdr:rowOff>
    </xdr:from>
    <xdr:to>
      <xdr:col>10</xdr:col>
      <xdr:colOff>0</xdr:colOff>
      <xdr:row>41</xdr:row>
      <xdr:rowOff>0</xdr:rowOff>
    </xdr:to>
    <xdr:cxnSp macro="">
      <xdr:nvCxnSpPr>
        <xdr:cNvPr id="50" name="Conector recto 49"/>
        <xdr:cNvCxnSpPr/>
      </xdr:nvCxnSpPr>
      <xdr:spPr>
        <a:xfrm>
          <a:off x="6096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32</xdr:row>
      <xdr:rowOff>0</xdr:rowOff>
    </xdr:from>
    <xdr:to>
      <xdr:col>2</xdr:col>
      <xdr:colOff>0</xdr:colOff>
      <xdr:row>38</xdr:row>
      <xdr:rowOff>180975</xdr:rowOff>
    </xdr:to>
    <xdr:cxnSp macro="">
      <xdr:nvCxnSpPr>
        <xdr:cNvPr id="56" name="Conector recto de flecha 5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40</xdr:row>
      <xdr:rowOff>161928</xdr:rowOff>
    </xdr:from>
    <xdr:to>
      <xdr:col>3</xdr:col>
      <xdr:colOff>4</xdr:colOff>
      <xdr:row>44</xdr:row>
      <xdr:rowOff>161925</xdr:rowOff>
    </xdr:to>
    <xdr:cxnSp macro="">
      <xdr:nvCxnSpPr>
        <xdr:cNvPr id="62" name="Conector recto de flecha 61"/>
        <xdr:cNvCxnSpPr/>
      </xdr:nvCxnSpPr>
      <xdr:spPr>
        <a:xfrm flipH="1">
          <a:off x="2286000" y="702945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40</xdr:row>
      <xdr:rowOff>171453</xdr:rowOff>
    </xdr:from>
    <xdr:to>
      <xdr:col>4</xdr:col>
      <xdr:colOff>9529</xdr:colOff>
      <xdr:row>44</xdr:row>
      <xdr:rowOff>171450</xdr:rowOff>
    </xdr:to>
    <xdr:cxnSp macro="">
      <xdr:nvCxnSpPr>
        <xdr:cNvPr id="63" name="Conector recto de flecha 62"/>
        <xdr:cNvCxnSpPr/>
      </xdr:nvCxnSpPr>
      <xdr:spPr>
        <a:xfrm flipH="1">
          <a:off x="3057525"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40</xdr:row>
      <xdr:rowOff>171453</xdr:rowOff>
    </xdr:from>
    <xdr:to>
      <xdr:col>5</xdr:col>
      <xdr:colOff>4</xdr:colOff>
      <xdr:row>44</xdr:row>
      <xdr:rowOff>171450</xdr:rowOff>
    </xdr:to>
    <xdr:cxnSp macro="">
      <xdr:nvCxnSpPr>
        <xdr:cNvPr id="64" name="Conector recto de flecha 63"/>
        <xdr:cNvCxnSpPr/>
      </xdr:nvCxnSpPr>
      <xdr:spPr>
        <a:xfrm flipH="1">
          <a:off x="3810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40</xdr:row>
      <xdr:rowOff>171453</xdr:rowOff>
    </xdr:from>
    <xdr:to>
      <xdr:col>7</xdr:col>
      <xdr:colOff>4</xdr:colOff>
      <xdr:row>44</xdr:row>
      <xdr:rowOff>171450</xdr:rowOff>
    </xdr:to>
    <xdr:cxnSp macro="">
      <xdr:nvCxnSpPr>
        <xdr:cNvPr id="65" name="Conector recto de flecha 64"/>
        <xdr:cNvCxnSpPr/>
      </xdr:nvCxnSpPr>
      <xdr:spPr>
        <a:xfrm flipH="1">
          <a:off x="4572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40</xdr:row>
      <xdr:rowOff>171453</xdr:rowOff>
    </xdr:from>
    <xdr:to>
      <xdr:col>8</xdr:col>
      <xdr:colOff>4</xdr:colOff>
      <xdr:row>44</xdr:row>
      <xdr:rowOff>171450</xdr:rowOff>
    </xdr:to>
    <xdr:cxnSp macro="">
      <xdr:nvCxnSpPr>
        <xdr:cNvPr id="66" name="Conector recto de flecha 65"/>
        <xdr:cNvCxnSpPr/>
      </xdr:nvCxnSpPr>
      <xdr:spPr>
        <a:xfrm flipH="1">
          <a:off x="5334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41</xdr:row>
      <xdr:rowOff>3</xdr:rowOff>
    </xdr:from>
    <xdr:to>
      <xdr:col>9</xdr:col>
      <xdr:colOff>4</xdr:colOff>
      <xdr:row>45</xdr:row>
      <xdr:rowOff>0</xdr:rowOff>
    </xdr:to>
    <xdr:cxnSp macro="">
      <xdr:nvCxnSpPr>
        <xdr:cNvPr id="67" name="Conector recto de flecha 66"/>
        <xdr:cNvCxnSpPr/>
      </xdr:nvCxnSpPr>
      <xdr:spPr>
        <a:xfrm flipH="1">
          <a:off x="6096000" y="70580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40</xdr:row>
      <xdr:rowOff>180978</xdr:rowOff>
    </xdr:from>
    <xdr:to>
      <xdr:col>10</xdr:col>
      <xdr:colOff>4</xdr:colOff>
      <xdr:row>44</xdr:row>
      <xdr:rowOff>180975</xdr:rowOff>
    </xdr:to>
    <xdr:cxnSp macro="">
      <xdr:nvCxnSpPr>
        <xdr:cNvPr id="68" name="Conector recto de flecha 67"/>
        <xdr:cNvCxnSpPr/>
      </xdr:nvCxnSpPr>
      <xdr:spPr>
        <a:xfrm flipH="1">
          <a:off x="6858000" y="70485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45</xdr:row>
      <xdr:rowOff>180975</xdr:rowOff>
    </xdr:from>
    <xdr:to>
      <xdr:col>10</xdr:col>
      <xdr:colOff>19050</xdr:colOff>
      <xdr:row>45</xdr:row>
      <xdr:rowOff>180975</xdr:rowOff>
    </xdr:to>
    <xdr:cxnSp macro="">
      <xdr:nvCxnSpPr>
        <xdr:cNvPr id="69" name="Conector recto 68"/>
        <xdr:cNvCxnSpPr/>
      </xdr:nvCxnSpPr>
      <xdr:spPr>
        <a:xfrm>
          <a:off x="2286000" y="8001000"/>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45</xdr:row>
      <xdr:rowOff>66675</xdr:rowOff>
    </xdr:from>
    <xdr:to>
      <xdr:col>3</xdr:col>
      <xdr:colOff>9525</xdr:colOff>
      <xdr:row>46</xdr:row>
      <xdr:rowOff>123825</xdr:rowOff>
    </xdr:to>
    <xdr:cxnSp macro="">
      <xdr:nvCxnSpPr>
        <xdr:cNvPr id="70" name="Conector recto 69"/>
        <xdr:cNvCxnSpPr/>
      </xdr:nvCxnSpPr>
      <xdr:spPr>
        <a:xfrm>
          <a:off x="2286000"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45</xdr:row>
      <xdr:rowOff>66675</xdr:rowOff>
    </xdr:from>
    <xdr:to>
      <xdr:col>10</xdr:col>
      <xdr:colOff>19050</xdr:colOff>
      <xdr:row>46</xdr:row>
      <xdr:rowOff>123825</xdr:rowOff>
    </xdr:to>
    <xdr:cxnSp macro="">
      <xdr:nvCxnSpPr>
        <xdr:cNvPr id="71" name="Conector recto 70"/>
        <xdr:cNvCxnSpPr/>
      </xdr:nvCxnSpPr>
      <xdr:spPr>
        <a:xfrm>
          <a:off x="6867525"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30</xdr:row>
      <xdr:rowOff>161925</xdr:rowOff>
    </xdr:from>
    <xdr:ext cx="577722" cy="264560"/>
    <xdr:sp macro="" textlink="">
      <xdr:nvSpPr>
        <xdr:cNvPr id="72" name="CuadroTexto 71"/>
        <xdr:cNvSpPr txBox="1"/>
      </xdr:nvSpPr>
      <xdr:spPr>
        <a:xfrm>
          <a:off x="1257300" y="512445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10.000</a:t>
          </a:r>
        </a:p>
      </xdr:txBody>
    </xdr:sp>
    <xdr:clientData/>
  </xdr:oneCellAnchor>
  <xdr:oneCellAnchor>
    <xdr:from>
      <xdr:col>5</xdr:col>
      <xdr:colOff>104775</xdr:colOff>
      <xdr:row>36</xdr:row>
      <xdr:rowOff>38100</xdr:rowOff>
    </xdr:from>
    <xdr:ext cx="565283" cy="264560"/>
    <xdr:sp macro="" textlink="">
      <xdr:nvSpPr>
        <xdr:cNvPr id="79" name="CuadroTexto 78"/>
        <xdr:cNvSpPr txBox="1"/>
      </xdr:nvSpPr>
      <xdr:spPr>
        <a:xfrm>
          <a:off x="3914775" y="6143625"/>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10%</a:t>
          </a:r>
          <a:endParaRPr lang="en-US" sz="1100" b="1"/>
        </a:p>
      </xdr:txBody>
    </xdr:sp>
    <xdr:clientData/>
  </xdr:oneCellAnchor>
  <xdr:oneCellAnchor>
    <xdr:from>
      <xdr:col>5</xdr:col>
      <xdr:colOff>304800</xdr:colOff>
      <xdr:row>46</xdr:row>
      <xdr:rowOff>28575</xdr:rowOff>
    </xdr:from>
    <xdr:ext cx="872034" cy="264560"/>
    <xdr:sp macro="" textlink="">
      <xdr:nvSpPr>
        <xdr:cNvPr id="80" name="CuadroTexto 79"/>
        <xdr:cNvSpPr txBox="1"/>
      </xdr:nvSpPr>
      <xdr:spPr>
        <a:xfrm>
          <a:off x="4114800" y="8039100"/>
          <a:ext cx="872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2.054,05</a:t>
          </a:r>
          <a:endParaRPr lang="en-US" sz="1100" b="1"/>
        </a:p>
      </xdr:txBody>
    </xdr:sp>
    <xdr:clientData/>
  </xdr:oneCellAnchor>
  <xdr:oneCellAnchor>
    <xdr:from>
      <xdr:col>1</xdr:col>
      <xdr:colOff>628650</xdr:colOff>
      <xdr:row>40</xdr:row>
      <xdr:rowOff>104775</xdr:rowOff>
    </xdr:from>
    <xdr:ext cx="283873" cy="264560"/>
    <xdr:sp macro="" textlink="">
      <xdr:nvSpPr>
        <xdr:cNvPr id="81" name="CuadroTexto 8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37</xdr:row>
      <xdr:rowOff>161925</xdr:rowOff>
    </xdr:from>
    <xdr:ext cx="283873" cy="264560"/>
    <xdr:sp macro="" textlink="">
      <xdr:nvSpPr>
        <xdr:cNvPr id="82" name="CuadroTexto 8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37</xdr:row>
      <xdr:rowOff>171450</xdr:rowOff>
    </xdr:from>
    <xdr:ext cx="283873" cy="264560"/>
    <xdr:sp macro="" textlink="">
      <xdr:nvSpPr>
        <xdr:cNvPr id="83" name="CuadroTexto 8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37</xdr:row>
      <xdr:rowOff>171450</xdr:rowOff>
    </xdr:from>
    <xdr:ext cx="283873" cy="264560"/>
    <xdr:sp macro="" textlink="">
      <xdr:nvSpPr>
        <xdr:cNvPr id="84" name="CuadroTexto 8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7</xdr:col>
      <xdr:colOff>647700</xdr:colOff>
      <xdr:row>37</xdr:row>
      <xdr:rowOff>180975</xdr:rowOff>
    </xdr:from>
    <xdr:ext cx="283873" cy="264560"/>
    <xdr:sp macro="" textlink="">
      <xdr:nvSpPr>
        <xdr:cNvPr id="90" name="CuadroTexto 8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8</xdr:col>
      <xdr:colOff>638175</xdr:colOff>
      <xdr:row>37</xdr:row>
      <xdr:rowOff>171450</xdr:rowOff>
    </xdr:from>
    <xdr:ext cx="283873" cy="264560"/>
    <xdr:sp macro="" textlink="">
      <xdr:nvSpPr>
        <xdr:cNvPr id="91" name="CuadroTexto 9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37</xdr:row>
      <xdr:rowOff>180975</xdr:rowOff>
    </xdr:from>
    <xdr:ext cx="283873" cy="264560"/>
    <xdr:sp macro="" textlink="">
      <xdr:nvSpPr>
        <xdr:cNvPr id="92" name="CuadroTexto 9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9</xdr:col>
      <xdr:colOff>638175</xdr:colOff>
      <xdr:row>37</xdr:row>
      <xdr:rowOff>171450</xdr:rowOff>
    </xdr:from>
    <xdr:ext cx="283873" cy="264560"/>
    <xdr:sp macro="" textlink="">
      <xdr:nvSpPr>
        <xdr:cNvPr id="93" name="CuadroTexto 9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oneCellAnchor>
    <xdr:from>
      <xdr:col>8</xdr:col>
      <xdr:colOff>295275</xdr:colOff>
      <xdr:row>14</xdr:row>
      <xdr:rowOff>19050</xdr:rowOff>
    </xdr:from>
    <xdr:ext cx="976741" cy="346954"/>
    <mc:AlternateContent xmlns:mc="http://schemas.openxmlformats.org/markup-compatibility/2006" xmlns:a14="http://schemas.microsoft.com/office/drawing/2010/main">
      <mc:Choice Requires="a14">
        <xdr:sp macro="" textlink="">
          <xdr:nvSpPr>
            <xdr:cNvPr id="4" name="CuadroTexto 3"/>
            <xdr:cNvSpPr txBox="1"/>
          </xdr:nvSpPr>
          <xdr:spPr>
            <a:xfrm>
              <a:off x="6581775" y="2724150"/>
              <a:ext cx="976741"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𝑖</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4" name="CuadroTexto 3"/>
            <xdr:cNvSpPr txBox="1"/>
          </xdr:nvSpPr>
          <xdr:spPr>
            <a:xfrm>
              <a:off x="6581775" y="2724150"/>
              <a:ext cx="976741"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𝐴=(𝐹∗𝑖)/(〖(1+𝑖)〗^𝑛−1)</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7</xdr:col>
      <xdr:colOff>161925</xdr:colOff>
      <xdr:row>8</xdr:row>
      <xdr:rowOff>76200</xdr:rowOff>
    </xdr:from>
    <xdr:to>
      <xdr:col>10</xdr:col>
      <xdr:colOff>564451</xdr:colOff>
      <xdr:row>16</xdr:row>
      <xdr:rowOff>189864</xdr:rowOff>
    </xdr:to>
    <xdr:grpSp>
      <xdr:nvGrpSpPr>
        <xdr:cNvPr id="2" name="100 Grupo"/>
        <xdr:cNvGrpSpPr>
          <a:grpSpLocks/>
        </xdr:cNvGrpSpPr>
      </xdr:nvGrpSpPr>
      <xdr:grpSpPr>
        <a:xfrm>
          <a:off x="5581650" y="1628775"/>
          <a:ext cx="2688526" cy="1637664"/>
          <a:chOff x="0" y="0"/>
          <a:chExt cx="2688981" cy="1661672"/>
        </a:xfrm>
      </xdr:grpSpPr>
      <xdr:cxnSp macro="">
        <xdr:nvCxnSpPr>
          <xdr:cNvPr id="3" name="94 Conector recto"/>
          <xdr:cNvCxnSpPr/>
        </xdr:nvCxnSpPr>
        <xdr:spPr>
          <a:xfrm flipH="1">
            <a:off x="2476501" y="256187"/>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4" name="99 Grupo"/>
          <xdr:cNvGrpSpPr/>
        </xdr:nvGrpSpPr>
        <xdr:grpSpPr>
          <a:xfrm>
            <a:off x="0" y="0"/>
            <a:ext cx="2688981" cy="1661672"/>
            <a:chOff x="0" y="0"/>
            <a:chExt cx="2688981" cy="1661672"/>
          </a:xfrm>
        </xdr:grpSpPr>
        <xdr:cxnSp macro="">
          <xdr:nvCxnSpPr>
            <xdr:cNvPr id="5" name="50 Conector recto"/>
            <xdr:cNvCxnSpPr/>
          </xdr:nvCxnSpPr>
          <xdr:spPr>
            <a:xfrm>
              <a:off x="725366" y="629860"/>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6" name="51 Conector recto"/>
            <xdr:cNvCxnSpPr/>
          </xdr:nvCxnSpPr>
          <xdr:spPr>
            <a:xfrm>
              <a:off x="430823" y="621067"/>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7" name="93 Conector recto"/>
            <xdr:cNvCxnSpPr/>
          </xdr:nvCxnSpPr>
          <xdr:spPr>
            <a:xfrm>
              <a:off x="1301261" y="619602"/>
              <a:ext cx="1963" cy="379932"/>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grpSp>
          <xdr:nvGrpSpPr>
            <xdr:cNvPr id="8" name="98 Grupo"/>
            <xdr:cNvGrpSpPr/>
          </xdr:nvGrpSpPr>
          <xdr:grpSpPr>
            <a:xfrm>
              <a:off x="0" y="0"/>
              <a:ext cx="2688981" cy="1661672"/>
              <a:chOff x="0" y="0"/>
              <a:chExt cx="2688981" cy="1661672"/>
            </a:xfrm>
          </xdr:grpSpPr>
          <xdr:cxnSp macro="">
            <xdr:nvCxnSpPr>
              <xdr:cNvPr id="9" name="45 Conector recto"/>
              <xdr:cNvCxnSpPr/>
            </xdr:nvCxnSpPr>
            <xdr:spPr>
              <a:xfrm flipH="1">
                <a:off x="1014163" y="1004792"/>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0" name="46 Conector recto"/>
              <xdr:cNvCxnSpPr/>
            </xdr:nvCxnSpPr>
            <xdr:spPr>
              <a:xfrm flipH="1">
                <a:off x="1299700" y="1012675"/>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1" name="47 Conector recto"/>
              <xdr:cNvCxnSpPr/>
            </xdr:nvCxnSpPr>
            <xdr:spPr>
              <a:xfrm flipH="1">
                <a:off x="1586016" y="1011473"/>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2" name="48 Conector recto"/>
              <xdr:cNvCxnSpPr/>
            </xdr:nvCxnSpPr>
            <xdr:spPr>
              <a:xfrm flipH="1">
                <a:off x="726144" y="1002898"/>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nvGrpSpPr>
              <xdr:cNvPr id="13" name="97 Grupo"/>
              <xdr:cNvGrpSpPr/>
            </xdr:nvGrpSpPr>
            <xdr:grpSpPr>
              <a:xfrm>
                <a:off x="0" y="0"/>
                <a:ext cx="2688981" cy="1661672"/>
                <a:chOff x="0" y="0"/>
                <a:chExt cx="2688981" cy="1661672"/>
              </a:xfrm>
            </xdr:grpSpPr>
            <xdr:grpSp>
              <xdr:nvGrpSpPr>
                <xdr:cNvPr id="14" name="1 Grupo"/>
                <xdr:cNvGrpSpPr/>
              </xdr:nvGrpSpPr>
              <xdr:grpSpPr>
                <a:xfrm>
                  <a:off x="0" y="247244"/>
                  <a:ext cx="2688981" cy="1414428"/>
                  <a:chOff x="0" y="247244"/>
                  <a:chExt cx="2688981" cy="1414428"/>
                </a:xfrm>
              </xdr:grpSpPr>
              <xdr:sp macro="" textlink="">
                <xdr:nvSpPr>
                  <xdr:cNvPr id="16" name="3 CuadroTexto"/>
                  <xdr:cNvSpPr txBox="1"/>
                </xdr:nvSpPr>
                <xdr:spPr>
                  <a:xfrm>
                    <a:off x="1443551" y="1403161"/>
                    <a:ext cx="366548" cy="25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C</a:t>
                    </a:r>
                    <a:endParaRPr lang="en-US" sz="1200">
                      <a:effectLst/>
                      <a:latin typeface="Times New Roman" panose="02020603050405020304" pitchFamily="18" charset="0"/>
                      <a:ea typeface="MS Mincho" panose="02020609040205080304" pitchFamily="49" charset="-128"/>
                    </a:endParaRPr>
                  </a:p>
                </xdr:txBody>
              </xdr:sp>
              <xdr:grpSp>
                <xdr:nvGrpSpPr>
                  <xdr:cNvPr id="17" name="4 Grupo"/>
                  <xdr:cNvGrpSpPr/>
                </xdr:nvGrpSpPr>
                <xdr:grpSpPr>
                  <a:xfrm>
                    <a:off x="0" y="247244"/>
                    <a:ext cx="2688981" cy="1146188"/>
                    <a:chOff x="0" y="247244"/>
                    <a:chExt cx="2688981" cy="1146188"/>
                  </a:xfrm>
                </xdr:grpSpPr>
                <xdr:cxnSp macro="">
                  <xdr:nvCxnSpPr>
                    <xdr:cNvPr id="18" name="5 Conector recto"/>
                    <xdr:cNvCxnSpPr/>
                  </xdr:nvCxnSpPr>
                  <xdr:spPr>
                    <a:xfrm flipH="1">
                      <a:off x="1591898" y="247244"/>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19" name="6 Conector recto"/>
                    <xdr:cNvCxnSpPr/>
                  </xdr:nvCxnSpPr>
                  <xdr:spPr>
                    <a:xfrm flipH="1">
                      <a:off x="1883762" y="255127"/>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20" name="7 Conector recto"/>
                    <xdr:cNvCxnSpPr/>
                  </xdr:nvCxnSpPr>
                  <xdr:spPr>
                    <a:xfrm flipH="1">
                      <a:off x="2176384" y="249871"/>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21" name="15 Grupo"/>
                    <xdr:cNvGrpSpPr/>
                  </xdr:nvGrpSpPr>
                  <xdr:grpSpPr>
                    <a:xfrm>
                      <a:off x="0" y="438501"/>
                      <a:ext cx="2688981" cy="954931"/>
                      <a:chOff x="0" y="438501"/>
                      <a:chExt cx="2688981" cy="954931"/>
                    </a:xfrm>
                  </xdr:grpSpPr>
                  <xdr:cxnSp macro="">
                    <xdr:nvCxnSpPr>
                      <xdr:cNvPr id="22" name="16 Conector recto"/>
                      <xdr:cNvCxnSpPr/>
                    </xdr:nvCxnSpPr>
                    <xdr:spPr>
                      <a:xfrm flipH="1">
                        <a:off x="2173570" y="1008692"/>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23" name="17 Conector recto"/>
                      <xdr:cNvCxnSpPr/>
                    </xdr:nvCxnSpPr>
                    <xdr:spPr>
                      <a:xfrm flipH="1">
                        <a:off x="2477814" y="1016575"/>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nvGrpSpPr>
                      <xdr:cNvPr id="24" name="20 Grupo"/>
                      <xdr:cNvGrpSpPr/>
                    </xdr:nvGrpSpPr>
                    <xdr:grpSpPr>
                      <a:xfrm>
                        <a:off x="0" y="438501"/>
                        <a:ext cx="2688981" cy="948587"/>
                        <a:chOff x="0" y="438501"/>
                        <a:chExt cx="2688981" cy="948587"/>
                      </a:xfrm>
                    </xdr:grpSpPr>
                    <xdr:grpSp>
                      <xdr:nvGrpSpPr>
                        <xdr:cNvPr id="25" name="21 Grupo"/>
                        <xdr:cNvGrpSpPr/>
                      </xdr:nvGrpSpPr>
                      <xdr:grpSpPr>
                        <a:xfrm>
                          <a:off x="0" y="629587"/>
                          <a:ext cx="2688981" cy="757501"/>
                          <a:chOff x="0" y="629177"/>
                          <a:chExt cx="2661843" cy="641046"/>
                        </a:xfrm>
                      </xdr:grpSpPr>
                      <xdr:grpSp>
                        <xdr:nvGrpSpPr>
                          <xdr:cNvPr id="27" name="27 Grupo"/>
                          <xdr:cNvGrpSpPr/>
                        </xdr:nvGrpSpPr>
                        <xdr:grpSpPr>
                          <a:xfrm>
                            <a:off x="116196" y="629177"/>
                            <a:ext cx="2545647" cy="641046"/>
                            <a:chOff x="116196" y="629177"/>
                            <a:chExt cx="2545647" cy="641046"/>
                          </a:xfrm>
                        </xdr:grpSpPr>
                        <xdr:grpSp>
                          <xdr:nvGrpSpPr>
                            <xdr:cNvPr id="29" name="29 Grupo"/>
                            <xdr:cNvGrpSpPr/>
                          </xdr:nvGrpSpPr>
                          <xdr:grpSpPr>
                            <a:xfrm>
                              <a:off x="116196" y="629177"/>
                              <a:ext cx="2545647" cy="641046"/>
                              <a:chOff x="116196" y="626920"/>
                              <a:chExt cx="2323517" cy="177465"/>
                            </a:xfrm>
                          </xdr:grpSpPr>
                          <xdr:cxnSp macro="">
                            <xdr:nvCxnSpPr>
                              <xdr:cNvPr id="38" name="42 Conector recto de flecha"/>
                              <xdr:cNvCxnSpPr/>
                            </xdr:nvCxnSpPr>
                            <xdr:spPr>
                              <a:xfrm>
                                <a:off x="116196" y="716576"/>
                                <a:ext cx="2323517" cy="4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9" name="43 Conector recto"/>
                              <xdr:cNvCxnSpPr/>
                            </xdr:nvCxnSpPr>
                            <xdr:spPr>
                              <a:xfrm>
                                <a:off x="930104" y="626920"/>
                                <a:ext cx="1774" cy="89098"/>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40" name="44 Conector recto"/>
                              <xdr:cNvCxnSpPr/>
                            </xdr:nvCxnSpPr>
                            <xdr:spPr>
                              <a:xfrm flipH="1">
                                <a:off x="1709424" y="716008"/>
                                <a:ext cx="4522" cy="8837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sp macro="" textlink="">
                          <xdr:nvSpPr>
                            <xdr:cNvPr id="30" name="30 CuadroTexto"/>
                            <xdr:cNvSpPr txBox="1"/>
                          </xdr:nvSpPr>
                          <xdr:spPr>
                            <a:xfrm>
                              <a:off x="306608" y="72996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a:t>
                              </a:r>
                              <a:endParaRPr lang="en-US" sz="1200">
                                <a:effectLst/>
                                <a:latin typeface="Times New Roman" panose="02020603050405020304" pitchFamily="18" charset="0"/>
                                <a:ea typeface="MS Mincho" panose="02020609040205080304" pitchFamily="49" charset="-128"/>
                              </a:endParaRPr>
                            </a:p>
                          </xdr:txBody>
                        </xdr:sp>
                        <xdr:sp macro="" textlink="">
                          <xdr:nvSpPr>
                            <xdr:cNvPr id="31" name="31 CuadroTexto"/>
                            <xdr:cNvSpPr txBox="1"/>
                          </xdr:nvSpPr>
                          <xdr:spPr>
                            <a:xfrm>
                              <a:off x="599687" y="7337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2</a:t>
                              </a:r>
                              <a:endParaRPr lang="en-US" sz="1200">
                                <a:effectLst/>
                                <a:latin typeface="Times New Roman" panose="02020603050405020304" pitchFamily="18" charset="0"/>
                                <a:ea typeface="MS Mincho" panose="02020609040205080304" pitchFamily="49" charset="-128"/>
                              </a:endParaRPr>
                            </a:p>
                          </xdr:txBody>
                        </xdr:sp>
                        <xdr:sp macro="" textlink="">
                          <xdr:nvSpPr>
                            <xdr:cNvPr id="32" name="32 CuadroTexto"/>
                            <xdr:cNvSpPr txBox="1"/>
                          </xdr:nvSpPr>
                          <xdr:spPr>
                            <a:xfrm>
                              <a:off x="911451" y="737822"/>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3</a:t>
                              </a:r>
                              <a:endParaRPr lang="en-US" sz="1200">
                                <a:effectLst/>
                                <a:latin typeface="Times New Roman" panose="02020603050405020304" pitchFamily="18" charset="0"/>
                                <a:ea typeface="MS Mincho" panose="02020609040205080304" pitchFamily="49" charset="-128"/>
                              </a:endParaRPr>
                            </a:p>
                          </xdr:txBody>
                        </xdr:sp>
                        <xdr:sp macro="" textlink="">
                          <xdr:nvSpPr>
                            <xdr:cNvPr id="33" name="33 CuadroTexto"/>
                            <xdr:cNvSpPr txBox="1"/>
                          </xdr:nvSpPr>
                          <xdr:spPr>
                            <a:xfrm>
                              <a:off x="1211034" y="73670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4</a:t>
                              </a:r>
                              <a:endParaRPr lang="en-US" sz="1200">
                                <a:effectLst/>
                                <a:latin typeface="Times New Roman" panose="02020603050405020304" pitchFamily="18" charset="0"/>
                                <a:ea typeface="MS Mincho" panose="02020609040205080304" pitchFamily="49" charset="-128"/>
                              </a:endParaRPr>
                            </a:p>
                          </xdr:txBody>
                        </xdr:sp>
                        <xdr:sp macro="" textlink="">
                          <xdr:nvSpPr>
                            <xdr:cNvPr id="34" name="34 CuadroTexto"/>
                            <xdr:cNvSpPr txBox="1"/>
                          </xdr:nvSpPr>
                          <xdr:spPr>
                            <a:xfrm>
                              <a:off x="1456196" y="73910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5</a:t>
                              </a:r>
                              <a:endParaRPr lang="en-US" sz="1200">
                                <a:effectLst/>
                                <a:latin typeface="Times New Roman" panose="02020603050405020304" pitchFamily="18" charset="0"/>
                                <a:ea typeface="MS Mincho" panose="02020609040205080304" pitchFamily="49" charset="-128"/>
                              </a:endParaRPr>
                            </a:p>
                          </xdr:txBody>
                        </xdr:sp>
                        <xdr:sp macro="" textlink="">
                          <xdr:nvSpPr>
                            <xdr:cNvPr id="35" name="35 CuadroTexto"/>
                            <xdr:cNvSpPr txBox="1"/>
                          </xdr:nvSpPr>
                          <xdr:spPr>
                            <a:xfrm>
                              <a:off x="1750027" y="7375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6</a:t>
                              </a:r>
                              <a:endParaRPr lang="en-US" sz="1200">
                                <a:effectLst/>
                                <a:latin typeface="Times New Roman" panose="02020603050405020304" pitchFamily="18" charset="0"/>
                                <a:ea typeface="MS Mincho" panose="02020609040205080304" pitchFamily="49" charset="-128"/>
                              </a:endParaRPr>
                            </a:p>
                          </xdr:txBody>
                        </xdr:sp>
                        <xdr:sp macro="" textlink="">
                          <xdr:nvSpPr>
                            <xdr:cNvPr id="36" name="36 CuadroTexto"/>
                            <xdr:cNvSpPr txBox="1"/>
                          </xdr:nvSpPr>
                          <xdr:spPr>
                            <a:xfrm>
                              <a:off x="2035780" y="7375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7</a:t>
                              </a:r>
                              <a:endParaRPr lang="en-US" sz="1200">
                                <a:effectLst/>
                                <a:latin typeface="Times New Roman" panose="02020603050405020304" pitchFamily="18" charset="0"/>
                                <a:ea typeface="MS Mincho" panose="02020609040205080304" pitchFamily="49" charset="-128"/>
                              </a:endParaRPr>
                            </a:p>
                          </xdr:txBody>
                        </xdr:sp>
                        <xdr:sp macro="" textlink="">
                          <xdr:nvSpPr>
                            <xdr:cNvPr id="37" name="37 CuadroTexto"/>
                            <xdr:cNvSpPr txBox="1"/>
                          </xdr:nvSpPr>
                          <xdr:spPr>
                            <a:xfrm>
                              <a:off x="2328859" y="74133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8</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8" name="28 CuadroTexto"/>
                          <xdr:cNvSpPr txBox="1"/>
                        </xdr:nvSpPr>
                        <xdr:spPr>
                          <a:xfrm>
                            <a:off x="0" y="923367"/>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0</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6" name="24 CuadroTexto"/>
                        <xdr:cNvSpPr txBox="1"/>
                      </xdr:nvSpPr>
                      <xdr:spPr>
                        <a:xfrm>
                          <a:off x="678484" y="438501"/>
                          <a:ext cx="436151"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$800</a:t>
                          </a:r>
                          <a:endParaRPr lang="en-US" sz="1200">
                            <a:effectLst/>
                            <a:latin typeface="Times New Roman" panose="02020603050405020304" pitchFamily="18" charset="0"/>
                            <a:ea typeface="MS Mincho" panose="02020609040205080304" pitchFamily="49" charset="-128"/>
                          </a:endParaRPr>
                        </a:p>
                      </xdr:txBody>
                    </xdr:sp>
                  </xdr:grpSp>
                </xdr:grpSp>
              </xdr:grpSp>
            </xdr:grpSp>
            <xdr:sp macro="" textlink="">
              <xdr:nvSpPr>
                <xdr:cNvPr id="15" name="96 CuadroTexto"/>
                <xdr:cNvSpPr txBox="1"/>
              </xdr:nvSpPr>
              <xdr:spPr>
                <a:xfrm>
                  <a:off x="1795564" y="0"/>
                  <a:ext cx="526915"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$1200</a:t>
                  </a:r>
                  <a:endParaRPr lang="en-US" sz="1200">
                    <a:effectLst/>
                    <a:latin typeface="Times New Roman" panose="02020603050405020304" pitchFamily="18" charset="0"/>
                    <a:ea typeface="MS Mincho" panose="02020609040205080304" pitchFamily="49" charset="-128"/>
                  </a:endParaRPr>
                </a:p>
              </xdr:txBody>
            </xdr:sp>
          </xdr:grpSp>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85725</xdr:colOff>
      <xdr:row>15</xdr:row>
      <xdr:rowOff>114300</xdr:rowOff>
    </xdr:from>
    <xdr:to>
      <xdr:col>11</xdr:col>
      <xdr:colOff>161925</xdr:colOff>
      <xdr:row>20</xdr:row>
      <xdr:rowOff>123825</xdr:rowOff>
    </xdr:to>
    <xdr:sp macro="" textlink="">
      <xdr:nvSpPr>
        <xdr:cNvPr id="2" name="CuadroTexto 1">
          <a:extLst>
            <a:ext uri="{FF2B5EF4-FFF2-40B4-BE49-F238E27FC236}">
              <a16:creationId xmlns:a16="http://schemas.microsoft.com/office/drawing/2014/main" id="{E560AC83-F3BD-4330-825E-42AB5D710F49}"/>
            </a:ext>
          </a:extLst>
        </xdr:cNvPr>
        <xdr:cNvSpPr txBox="1"/>
      </xdr:nvSpPr>
      <xdr:spPr>
        <a:xfrm>
          <a:off x="5419725" y="3076575"/>
          <a:ext cx="3124200" cy="962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400">
              <a:solidFill>
                <a:srgbClr val="FF0000"/>
              </a:solidFill>
            </a:rPr>
            <a:t>HACER DIAGRAMA DE FLUJO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619125</xdr:colOff>
      <xdr:row>5</xdr:row>
      <xdr:rowOff>66675</xdr:rowOff>
    </xdr:from>
    <xdr:to>
      <xdr:col>11</xdr:col>
      <xdr:colOff>638175</xdr:colOff>
      <xdr:row>11</xdr:row>
      <xdr:rowOff>9525</xdr:rowOff>
    </xdr:to>
    <xdr:sp macro="" textlink="">
      <xdr:nvSpPr>
        <xdr:cNvPr id="2" name="CuadroTexto 1">
          <a:extLst>
            <a:ext uri="{FF2B5EF4-FFF2-40B4-BE49-F238E27FC236}">
              <a16:creationId xmlns:a16="http://schemas.microsoft.com/office/drawing/2014/main" id="{D2D30A97-14C6-42F0-BB84-5C108C268B64}"/>
            </a:ext>
          </a:extLst>
        </xdr:cNvPr>
        <xdr:cNvSpPr txBox="1"/>
      </xdr:nvSpPr>
      <xdr:spPr>
        <a:xfrm>
          <a:off x="5953125" y="1123950"/>
          <a:ext cx="3067050" cy="11049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solidFill>
                <a:srgbClr val="FF0000"/>
              </a:solidFill>
            </a:rPr>
            <a:t>hacer</a:t>
          </a:r>
          <a:r>
            <a:rPr lang="es-CO" sz="2000" b="1" baseline="0">
              <a:solidFill>
                <a:srgbClr val="FF0000"/>
              </a:solidFill>
            </a:rPr>
            <a:t> diagrama de flujo !!!</a:t>
          </a:r>
          <a:endParaRPr lang="es-CO" sz="2000" b="1">
            <a:solidFill>
              <a:srgbClr val="FF0000"/>
            </a:solidFill>
          </a:endParaRPr>
        </a:p>
      </xdr:txBody>
    </xdr:sp>
    <xdr:clientData/>
  </xdr:twoCellAnchor>
  <xdr:oneCellAnchor>
    <xdr:from>
      <xdr:col>5</xdr:col>
      <xdr:colOff>609600</xdr:colOff>
      <xdr:row>5</xdr:row>
      <xdr:rowOff>176212</xdr:rowOff>
    </xdr:from>
    <xdr:ext cx="65" cy="172227"/>
    <xdr:sp macro="" textlink="">
      <xdr:nvSpPr>
        <xdr:cNvPr id="3" name="CuadroTexto 2">
          <a:extLst>
            <a:ext uri="{FF2B5EF4-FFF2-40B4-BE49-F238E27FC236}">
              <a16:creationId xmlns:a16="http://schemas.microsoft.com/office/drawing/2014/main" id="{A45E84DE-AC5D-4CD1-9015-8823D7C51331}"/>
            </a:ext>
          </a:extLst>
        </xdr:cNvPr>
        <xdr:cNvSpPr txBox="1"/>
      </xdr:nvSpPr>
      <xdr:spPr>
        <a:xfrm>
          <a:off x="4419600" y="123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133350</xdr:colOff>
      <xdr:row>5</xdr:row>
      <xdr:rowOff>109537</xdr:rowOff>
    </xdr:from>
    <xdr:ext cx="433452" cy="346826"/>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ECF74CAB-BBCC-4193-A721-625C73C0ECE2}"/>
                </a:ext>
              </a:extLst>
            </xdr:cNvPr>
            <xdr:cNvSpPr txBox="1"/>
          </xdr:nvSpPr>
          <xdr:spPr>
            <a:xfrm>
              <a:off x="4705350" y="1166812"/>
              <a:ext cx="433452"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200" b="0" i="1">
                        <a:latin typeface="Cambria Math" panose="02040503050406030204" pitchFamily="18" charset="0"/>
                      </a:rPr>
                      <m:t>𝑃</m:t>
                    </m:r>
                    <m:r>
                      <a:rPr lang="es-CO" sz="1200" b="0" i="1">
                        <a:latin typeface="Cambria Math" panose="02040503050406030204" pitchFamily="18" charset="0"/>
                      </a:rPr>
                      <m:t>=</m:t>
                    </m:r>
                    <m:f>
                      <m:fPr>
                        <m:ctrlPr>
                          <a:rPr lang="es-CO" sz="1200" b="0" i="1">
                            <a:latin typeface="Cambria Math" panose="02040503050406030204" pitchFamily="18" charset="0"/>
                          </a:rPr>
                        </m:ctrlPr>
                      </m:fPr>
                      <m:num>
                        <m:r>
                          <a:rPr lang="es-CO" sz="1200" b="0" i="1">
                            <a:latin typeface="Cambria Math" panose="02040503050406030204" pitchFamily="18" charset="0"/>
                          </a:rPr>
                          <m:t>𝐴</m:t>
                        </m:r>
                      </m:num>
                      <m:den>
                        <m:r>
                          <a:rPr lang="es-CO" sz="1200" b="0" i="1">
                            <a:latin typeface="Cambria Math" panose="02040503050406030204" pitchFamily="18" charset="0"/>
                          </a:rPr>
                          <m:t>𝑖</m:t>
                        </m:r>
                      </m:den>
                    </m:f>
                  </m:oMath>
                </m:oMathPara>
              </a14:m>
              <a:endParaRPr lang="es-CO" sz="1100"/>
            </a:p>
          </xdr:txBody>
        </xdr:sp>
      </mc:Choice>
      <mc:Fallback>
        <xdr:sp macro="" textlink="">
          <xdr:nvSpPr>
            <xdr:cNvPr id="4" name="CuadroTexto 3">
              <a:extLst>
                <a:ext uri="{FF2B5EF4-FFF2-40B4-BE49-F238E27FC236}">
                  <a16:creationId xmlns:a16="http://schemas.microsoft.com/office/drawing/2014/main" id="{ECF74CAB-BBCC-4193-A721-625C73C0ECE2}"/>
                </a:ext>
              </a:extLst>
            </xdr:cNvPr>
            <xdr:cNvSpPr txBox="1"/>
          </xdr:nvSpPr>
          <xdr:spPr>
            <a:xfrm>
              <a:off x="4705350" y="1166812"/>
              <a:ext cx="433452"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200" b="0" i="0">
                  <a:latin typeface="Cambria Math" panose="02040503050406030204" pitchFamily="18" charset="0"/>
                </a:rPr>
                <a:t>𝑃=𝐴/𝑖</a:t>
              </a:r>
              <a:endParaRPr lang="es-CO" sz="1100"/>
            </a:p>
          </xdr:txBody>
        </xdr:sp>
      </mc:Fallback>
    </mc:AlternateContent>
    <xdr:clientData/>
  </xdr:oneCellAnchor>
</xdr:wsDr>
</file>

<file path=xl/drawings/drawing15.xml><?xml version="1.0" encoding="utf-8"?>
<xdr:wsDr xmlns:xdr="http://schemas.openxmlformats.org/drawingml/2006/spreadsheetDrawing" xmlns:a="http://schemas.openxmlformats.org/drawingml/2006/main">
  <xdr:twoCellAnchor>
    <xdr:from>
      <xdr:col>6</xdr:col>
      <xdr:colOff>295276</xdr:colOff>
      <xdr:row>11</xdr:row>
      <xdr:rowOff>9525</xdr:rowOff>
    </xdr:from>
    <xdr:to>
      <xdr:col>10</xdr:col>
      <xdr:colOff>628650</xdr:colOff>
      <xdr:row>17</xdr:row>
      <xdr:rowOff>19050</xdr:rowOff>
    </xdr:to>
    <xdr:sp macro="" textlink="">
      <xdr:nvSpPr>
        <xdr:cNvPr id="2" name="CuadroTexto 1">
          <a:extLst>
            <a:ext uri="{FF2B5EF4-FFF2-40B4-BE49-F238E27FC236}">
              <a16:creationId xmlns:a16="http://schemas.microsoft.com/office/drawing/2014/main" id="{9A6D814D-0C50-4916-BF6F-1F0FC9F4D52D}"/>
            </a:ext>
          </a:extLst>
        </xdr:cNvPr>
        <xdr:cNvSpPr txBox="1"/>
      </xdr:nvSpPr>
      <xdr:spPr>
        <a:xfrm>
          <a:off x="5162551" y="2295525"/>
          <a:ext cx="3562349"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En</a:t>
          </a:r>
          <a:r>
            <a:rPr lang="es-CO" sz="1100" baseline="0"/>
            <a:t> el sistema francés la cuota permanece fija y lo que varía es el abono de acuerdo a los intereses generados durante el periodo, para este caso la cuota debe ser de $1'405.445 y de esta forma la deuda sería pagada al terminar los 10 años(120 meses), teniendo en cuenta la tasa de interés mensual. </a:t>
          </a:r>
          <a:endParaRPr lang="es-CO" sz="1100"/>
        </a:p>
      </xdr:txBody>
    </xdr:sp>
    <xdr:clientData/>
  </xdr:twoCellAnchor>
  <xdr:twoCellAnchor>
    <xdr:from>
      <xdr:col>16</xdr:col>
      <xdr:colOff>161925</xdr:colOff>
      <xdr:row>15</xdr:row>
      <xdr:rowOff>190499</xdr:rowOff>
    </xdr:from>
    <xdr:to>
      <xdr:col>20</xdr:col>
      <xdr:colOff>504825</xdr:colOff>
      <xdr:row>22</xdr:row>
      <xdr:rowOff>66674</xdr:rowOff>
    </xdr:to>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E155F75F-C39C-49A7-9F39-40DDF4E1904A}"/>
                </a:ext>
              </a:extLst>
            </xdr:cNvPr>
            <xdr:cNvSpPr txBox="1"/>
          </xdr:nvSpPr>
          <xdr:spPr>
            <a:xfrm>
              <a:off x="12830175" y="3238499"/>
              <a:ext cx="3390900" cy="12096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Si</a:t>
              </a:r>
              <a:r>
                <a:rPr lang="es-CO" sz="1100" baseline="0"/>
                <a:t> se calcula una tasa de interés anual para tener una menor cantidad de periodos usando la formula           </a:t>
              </a:r>
              <a14:m>
                <m:oMath xmlns:m="http://schemas.openxmlformats.org/officeDocument/2006/math">
                  <m:sSub>
                    <m:sSubPr>
                      <m:ctrlPr>
                        <a:rPr lang="es-CO" sz="1100" i="1" baseline="0">
                          <a:latin typeface="Cambria Math" panose="02040503050406030204" pitchFamily="18" charset="0"/>
                        </a:rPr>
                      </m:ctrlPr>
                    </m:sSubPr>
                    <m:e>
                      <m:r>
                        <a:rPr lang="es-CO" sz="1100" b="0" i="1" baseline="0">
                          <a:latin typeface="Cambria Math" panose="02040503050406030204" pitchFamily="18" charset="0"/>
                        </a:rPr>
                        <m:t>𝑖</m:t>
                      </m:r>
                    </m:e>
                    <m:sub>
                      <m:r>
                        <a:rPr lang="es-CO" sz="1100" b="0" i="1" baseline="0">
                          <a:latin typeface="Cambria Math" panose="02040503050406030204" pitchFamily="18" charset="0"/>
                        </a:rPr>
                        <m:t>𝐴</m:t>
                      </m:r>
                    </m:sub>
                  </m:sSub>
                  <m:r>
                    <a:rPr lang="es-CO" sz="1100" b="0" i="1" baseline="0">
                      <a:latin typeface="Cambria Math" panose="02040503050406030204" pitchFamily="18" charset="0"/>
                    </a:rPr>
                    <m:t>=</m:t>
                  </m:r>
                  <m:sSup>
                    <m:sSupPr>
                      <m:ctrlPr>
                        <a:rPr lang="es-CO" sz="1100" b="0" i="1" baseline="0">
                          <a:latin typeface="Cambria Math" panose="02040503050406030204" pitchFamily="18" charset="0"/>
                        </a:rPr>
                      </m:ctrlPr>
                    </m:sSupPr>
                    <m:e>
                      <m:r>
                        <a:rPr lang="es-CO" sz="1100" b="0" i="1" baseline="0">
                          <a:latin typeface="Cambria Math" panose="02040503050406030204" pitchFamily="18" charset="0"/>
                        </a:rPr>
                        <m:t>(1+</m:t>
                      </m:r>
                      <m:sSub>
                        <m:sSubPr>
                          <m:ctrlPr>
                            <a:rPr lang="es-CO" sz="1100" b="0" i="1" baseline="0">
                              <a:latin typeface="Cambria Math" panose="02040503050406030204" pitchFamily="18" charset="0"/>
                            </a:rPr>
                          </m:ctrlPr>
                        </m:sSubPr>
                        <m:e>
                          <m:r>
                            <a:rPr lang="es-CO" sz="1100" b="0" i="1" baseline="0">
                              <a:latin typeface="Cambria Math" panose="02040503050406030204" pitchFamily="18" charset="0"/>
                            </a:rPr>
                            <m:t>𝑖</m:t>
                          </m:r>
                        </m:e>
                        <m:sub>
                          <m:r>
                            <a:rPr lang="es-CO" sz="1100" b="0" i="1" baseline="0">
                              <a:latin typeface="Cambria Math" panose="02040503050406030204" pitchFamily="18" charset="0"/>
                            </a:rPr>
                            <m:t>𝑀</m:t>
                          </m:r>
                        </m:sub>
                      </m:sSub>
                      <m:r>
                        <a:rPr lang="es-CO" sz="1100" b="0" i="1" baseline="0">
                          <a:latin typeface="Cambria Math" panose="02040503050406030204" pitchFamily="18" charset="0"/>
                        </a:rPr>
                        <m:t>)</m:t>
                      </m:r>
                    </m:e>
                    <m:sup>
                      <m:r>
                        <a:rPr lang="es-CO" sz="1100" b="0" i="1" baseline="0">
                          <a:latin typeface="Cambria Math" panose="02040503050406030204" pitchFamily="18" charset="0"/>
                        </a:rPr>
                        <m:t>𝑚</m:t>
                      </m:r>
                    </m:sup>
                  </m:sSup>
                  <m:r>
                    <a:rPr lang="es-CO" sz="1100" b="0" i="1" baseline="0">
                      <a:latin typeface="Cambria Math" panose="02040503050406030204" pitchFamily="18" charset="0"/>
                    </a:rPr>
                    <m:t>−1</m:t>
                  </m:r>
                  <m:r>
                    <a:rPr lang="es-CO" sz="1100" b="0" i="0" baseline="0">
                      <a:latin typeface="Cambria Math" panose="02040503050406030204" pitchFamily="18" charset="0"/>
                    </a:rPr>
                    <m:t>   </m:t>
                  </m:r>
                </m:oMath>
              </a14:m>
              <a:r>
                <a:rPr lang="es-CO" sz="1100" baseline="0">
                  <a:solidFill>
                    <a:sysClr val="windowText" lastClr="000000"/>
                  </a:solidFill>
                </a:rPr>
                <a:t>de esta forma la cuota anual debe ser de $18'328.700 para saldar la deuda. Los valores son equivalentes, la tasa anual simplifica la tabla, al haber menos periodos.</a:t>
              </a:r>
              <a:endParaRPr lang="es-CO" sz="1100">
                <a:solidFill>
                  <a:sysClr val="windowText" lastClr="000000"/>
                </a:solidFill>
              </a:endParaRPr>
            </a:p>
          </xdr:txBody>
        </xdr:sp>
      </mc:Choice>
      <mc:Fallback>
        <xdr:sp macro="" textlink="">
          <xdr:nvSpPr>
            <xdr:cNvPr id="3" name="CuadroTexto 2">
              <a:extLst>
                <a:ext uri="{FF2B5EF4-FFF2-40B4-BE49-F238E27FC236}">
                  <a16:creationId xmlns:a16="http://schemas.microsoft.com/office/drawing/2014/main" id="{E155F75F-C39C-49A7-9F39-40DDF4E1904A}"/>
                </a:ext>
              </a:extLst>
            </xdr:cNvPr>
            <xdr:cNvSpPr txBox="1"/>
          </xdr:nvSpPr>
          <xdr:spPr>
            <a:xfrm>
              <a:off x="12830175" y="3238499"/>
              <a:ext cx="3390900" cy="12096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Si</a:t>
              </a:r>
              <a:r>
                <a:rPr lang="es-CO" sz="1100" baseline="0"/>
                <a:t> se calcula una tasa de interés anual para tener una menor cantidad de periodos usando la formula           </a:t>
              </a:r>
              <a:r>
                <a:rPr lang="es-CO" sz="1100" b="0" i="0" baseline="0">
                  <a:latin typeface="Cambria Math" panose="02040503050406030204" pitchFamily="18" charset="0"/>
                </a:rPr>
                <a:t>𝑖_𝐴=〖(1+𝑖_𝑀)〗^𝑚−1   </a:t>
              </a:r>
              <a:r>
                <a:rPr lang="es-CO" sz="1100" baseline="0">
                  <a:solidFill>
                    <a:sysClr val="windowText" lastClr="000000"/>
                  </a:solidFill>
                </a:rPr>
                <a:t>de esta forma la cuota anual debe ser de $18'328.700 para saldar la deuda. Los valores son equivalentes, la tasa anual simplifica la tabla, al haber menos periodos.</a:t>
              </a:r>
              <a:endParaRPr lang="es-CO" sz="1100">
                <a:solidFill>
                  <a:sysClr val="windowText" lastClr="000000"/>
                </a:solidFill>
              </a:endParaRPr>
            </a:p>
          </xdr:txBody>
        </xdr:sp>
      </mc:Fallback>
    </mc:AlternateContent>
    <xdr:clientData/>
  </xdr:twoCellAnchor>
  <xdr:twoCellAnchor>
    <xdr:from>
      <xdr:col>6</xdr:col>
      <xdr:colOff>323850</xdr:colOff>
      <xdr:row>142</xdr:row>
      <xdr:rowOff>47625</xdr:rowOff>
    </xdr:from>
    <xdr:to>
      <xdr:col>10</xdr:col>
      <xdr:colOff>361950</xdr:colOff>
      <xdr:row>149</xdr:row>
      <xdr:rowOff>57150</xdr:rowOff>
    </xdr:to>
    <xdr:sp macro="" textlink="">
      <xdr:nvSpPr>
        <xdr:cNvPr id="4" name="CuadroTexto 3">
          <a:extLst>
            <a:ext uri="{FF2B5EF4-FFF2-40B4-BE49-F238E27FC236}">
              <a16:creationId xmlns:a16="http://schemas.microsoft.com/office/drawing/2014/main" id="{D53C3BCC-4CF8-465E-9C73-79B30A1FF53B}"/>
            </a:ext>
          </a:extLst>
        </xdr:cNvPr>
        <xdr:cNvSpPr txBox="1"/>
      </xdr:nvSpPr>
      <xdr:spPr>
        <a:xfrm>
          <a:off x="5191125" y="27289125"/>
          <a:ext cx="32670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En</a:t>
          </a:r>
          <a:r>
            <a:rPr lang="es-CO" sz="1100" baseline="0"/>
            <a:t> el sistema alemán lo que permanece fijo es el abono,asi que la cuota varía según los intereses que se generen, para que el prestámo de 78'000.000 sea saldado en 10 años el abono mensual debe de ser de 650.000, se observa que las cuotas en los primero meses son mayor y van disminuyendo con el tiempo.</a:t>
          </a:r>
          <a:endParaRPr lang="es-CO" sz="1100"/>
        </a:p>
      </xdr:txBody>
    </xdr:sp>
    <xdr:clientData/>
  </xdr:twoCellAnchor>
  <xdr:twoCellAnchor>
    <xdr:from>
      <xdr:col>16</xdr:col>
      <xdr:colOff>104775</xdr:colOff>
      <xdr:row>144</xdr:row>
      <xdr:rowOff>28576</xdr:rowOff>
    </xdr:from>
    <xdr:to>
      <xdr:col>20</xdr:col>
      <xdr:colOff>19050</xdr:colOff>
      <xdr:row>147</xdr:row>
      <xdr:rowOff>142876</xdr:rowOff>
    </xdr:to>
    <xdr:sp macro="" textlink="">
      <xdr:nvSpPr>
        <xdr:cNvPr id="5" name="CuadroTexto 4">
          <a:extLst>
            <a:ext uri="{FF2B5EF4-FFF2-40B4-BE49-F238E27FC236}">
              <a16:creationId xmlns:a16="http://schemas.microsoft.com/office/drawing/2014/main" id="{4F98E446-BCC9-4939-B82C-CF7CDC67A2E0}"/>
            </a:ext>
          </a:extLst>
        </xdr:cNvPr>
        <xdr:cNvSpPr txBox="1"/>
      </xdr:nvSpPr>
      <xdr:spPr>
        <a:xfrm>
          <a:off x="12773025" y="27651076"/>
          <a:ext cx="29622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El abono anual debe ser de 7'800.000, con este tipo de tasa</a:t>
          </a:r>
          <a:r>
            <a:rPr lang="es-CO" sz="1100" baseline="0"/>
            <a:t> la cuota también disminuye con el paso de los periodos.</a:t>
          </a:r>
          <a:endParaRPr lang="es-CO" sz="1100"/>
        </a:p>
      </xdr:txBody>
    </xdr:sp>
    <xdr:clientData/>
  </xdr:twoCellAnchor>
  <xdr:twoCellAnchor>
    <xdr:from>
      <xdr:col>6</xdr:col>
      <xdr:colOff>200025</xdr:colOff>
      <xdr:row>272</xdr:row>
      <xdr:rowOff>171450</xdr:rowOff>
    </xdr:from>
    <xdr:to>
      <xdr:col>9</xdr:col>
      <xdr:colOff>476250</xdr:colOff>
      <xdr:row>281</xdr:row>
      <xdr:rowOff>161925</xdr:rowOff>
    </xdr:to>
    <xdr:sp macro="" textlink="">
      <xdr:nvSpPr>
        <xdr:cNvPr id="6" name="CuadroTexto 5">
          <a:extLst>
            <a:ext uri="{FF2B5EF4-FFF2-40B4-BE49-F238E27FC236}">
              <a16:creationId xmlns:a16="http://schemas.microsoft.com/office/drawing/2014/main" id="{846FF22A-151B-43FD-83E9-CBBB2B44E527}"/>
            </a:ext>
          </a:extLst>
        </xdr:cNvPr>
        <xdr:cNvSpPr txBox="1"/>
      </xdr:nvSpPr>
      <xdr:spPr>
        <a:xfrm>
          <a:off x="5067300" y="52177950"/>
          <a:ext cx="27432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Haciendo estos abonos extraordinarios la cuota</a:t>
          </a:r>
          <a:r>
            <a:rPr lang="es-CO" sz="1100" baseline="0"/>
            <a:t> disminuye,  la disminución de esta cuota hace que en los primero 53 meses no se cubra el pago total de los intereses, por lo que la deuda aumentaria sin embargo al realizar el abono extraordinario la deuda baja al punto que la cuota ya puede cubrir el pago de los intereses.</a:t>
          </a:r>
        </a:p>
        <a:p>
          <a:endParaRPr lang="es-CO" sz="1100"/>
        </a:p>
      </xdr:txBody>
    </xdr:sp>
    <xdr:clientData/>
  </xdr:twoCellAnchor>
  <xdr:twoCellAnchor>
    <xdr:from>
      <xdr:col>16</xdr:col>
      <xdr:colOff>266699</xdr:colOff>
      <xdr:row>274</xdr:row>
      <xdr:rowOff>9526</xdr:rowOff>
    </xdr:from>
    <xdr:to>
      <xdr:col>20</xdr:col>
      <xdr:colOff>9525</xdr:colOff>
      <xdr:row>278</xdr:row>
      <xdr:rowOff>180975</xdr:rowOff>
    </xdr:to>
    <xdr:sp macro="" textlink="">
      <xdr:nvSpPr>
        <xdr:cNvPr id="7" name="CuadroTexto 6">
          <a:extLst>
            <a:ext uri="{FF2B5EF4-FFF2-40B4-BE49-F238E27FC236}">
              <a16:creationId xmlns:a16="http://schemas.microsoft.com/office/drawing/2014/main" id="{5FA8487E-2F82-4A4A-AD15-CEF5BC2A0A0C}"/>
            </a:ext>
          </a:extLst>
        </xdr:cNvPr>
        <xdr:cNvSpPr txBox="1"/>
      </xdr:nvSpPr>
      <xdr:spPr>
        <a:xfrm>
          <a:off x="12934949" y="52397026"/>
          <a:ext cx="2790826" cy="933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En el sistema alemán</a:t>
          </a:r>
          <a:r>
            <a:rPr lang="es-CO" sz="1100" baseline="0"/>
            <a:t> el abono fijo tambien disminuye al realizar los abonos extaordinarios semestralmente, las cuotas tambien  disminuyen al realizar los abonos extraordinarios </a:t>
          </a:r>
          <a:endParaRPr lang="es-CO" sz="1100"/>
        </a:p>
      </xdr:txBody>
    </xdr:sp>
    <xdr:clientData/>
  </xdr:twoCellAnchor>
  <xdr:twoCellAnchor>
    <xdr:from>
      <xdr:col>6</xdr:col>
      <xdr:colOff>304801</xdr:colOff>
      <xdr:row>482</xdr:row>
      <xdr:rowOff>123826</xdr:rowOff>
    </xdr:from>
    <xdr:to>
      <xdr:col>10</xdr:col>
      <xdr:colOff>1</xdr:colOff>
      <xdr:row>486</xdr:row>
      <xdr:rowOff>28576</xdr:rowOff>
    </xdr:to>
    <xdr:sp macro="" textlink="">
      <xdr:nvSpPr>
        <xdr:cNvPr id="8" name="CuadroTexto 7">
          <a:extLst>
            <a:ext uri="{FF2B5EF4-FFF2-40B4-BE49-F238E27FC236}">
              <a16:creationId xmlns:a16="http://schemas.microsoft.com/office/drawing/2014/main" id="{17C610AB-4090-455E-9B89-BCDA00CC9D46}"/>
            </a:ext>
          </a:extLst>
        </xdr:cNvPr>
        <xdr:cNvSpPr txBox="1"/>
      </xdr:nvSpPr>
      <xdr:spPr>
        <a:xfrm>
          <a:off x="5172076" y="92135326"/>
          <a:ext cx="292417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Con el abono extraordinario en la cuota 32 la cuota baja a 1'200.031</a:t>
          </a:r>
          <a:r>
            <a:rPr lang="es-CO" sz="1100" baseline="0"/>
            <a:t> para pagar el prestámo en el mismo tiempo.</a:t>
          </a:r>
          <a:endParaRPr lang="es-CO"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12</xdr:row>
      <xdr:rowOff>0</xdr:rowOff>
    </xdr:from>
    <xdr:to>
      <xdr:col>9</xdr:col>
      <xdr:colOff>1543050</xdr:colOff>
      <xdr:row>17</xdr:row>
      <xdr:rowOff>152400</xdr:rowOff>
    </xdr:to>
    <xdr:sp macro="" textlink="">
      <xdr:nvSpPr>
        <xdr:cNvPr id="2" name="CuadroTexto 1">
          <a:extLst>
            <a:ext uri="{FF2B5EF4-FFF2-40B4-BE49-F238E27FC236}">
              <a16:creationId xmlns:a16="http://schemas.microsoft.com/office/drawing/2014/main" id="{04C2263C-0EFF-4402-86CD-6FA4BC2CDDB7}"/>
            </a:ext>
          </a:extLst>
        </xdr:cNvPr>
        <xdr:cNvSpPr txBox="1"/>
      </xdr:nvSpPr>
      <xdr:spPr>
        <a:xfrm>
          <a:off x="5648325" y="2686050"/>
          <a:ext cx="3067050" cy="11049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solidFill>
                <a:srgbClr val="FF0000"/>
              </a:solidFill>
            </a:rPr>
            <a:t>hacer</a:t>
          </a:r>
          <a:r>
            <a:rPr lang="es-CO" sz="2000" b="1" baseline="0">
              <a:solidFill>
                <a:srgbClr val="FF0000"/>
              </a:solidFill>
            </a:rPr>
            <a:t> diagrama de flujo !!!</a:t>
          </a:r>
          <a:endParaRPr lang="es-CO" sz="2000" b="1">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219075</xdr:colOff>
      <xdr:row>19</xdr:row>
      <xdr:rowOff>157162</xdr:rowOff>
    </xdr:from>
    <xdr:to>
      <xdr:col>12</xdr:col>
      <xdr:colOff>219075</xdr:colOff>
      <xdr:row>34</xdr:row>
      <xdr:rowOff>42862</xdr:rowOff>
    </xdr:to>
    <xdr:graphicFrame macro="">
      <xdr:nvGraphicFramePr>
        <xdr:cNvPr id="2" name="Gráfico 1">
          <a:extLst>
            <a:ext uri="{FF2B5EF4-FFF2-40B4-BE49-F238E27FC236}">
              <a16:creationId xmlns:a16="http://schemas.microsoft.com/office/drawing/2014/main" id="{10C346F5-785C-4BC1-9A8F-F92A95672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oneCellAnchor>
    <xdr:from>
      <xdr:col>5</xdr:col>
      <xdr:colOff>571500</xdr:colOff>
      <xdr:row>19</xdr:row>
      <xdr:rowOff>23812</xdr:rowOff>
    </xdr:from>
    <xdr:ext cx="355738" cy="31579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60BCE3F0-2665-4A71-A998-414969804D74}"/>
                </a:ext>
              </a:extLst>
            </xdr:cNvPr>
            <xdr:cNvSpPr txBox="1"/>
          </xdr:nvSpPr>
          <xdr:spPr>
            <a:xfrm>
              <a:off x="4381500" y="3643312"/>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s-CO" sz="1100"/>
            </a:p>
          </xdr:txBody>
        </xdr:sp>
      </mc:Choice>
      <mc:Fallback>
        <xdr:sp macro="" textlink="">
          <xdr:nvSpPr>
            <xdr:cNvPr id="2" name="CuadroTexto 1">
              <a:extLst>
                <a:ext uri="{FF2B5EF4-FFF2-40B4-BE49-F238E27FC236}">
                  <a16:creationId xmlns:a16="http://schemas.microsoft.com/office/drawing/2014/main" id="{60BCE3F0-2665-4A71-A998-414969804D74}"/>
                </a:ext>
              </a:extLst>
            </xdr:cNvPr>
            <xdr:cNvSpPr txBox="1"/>
          </xdr:nvSpPr>
          <xdr:spPr>
            <a:xfrm>
              <a:off x="4381500" y="3643312"/>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𝑖=𝐼/𝑃</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5</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8</xdr:row>
      <xdr:rowOff>152400</xdr:rowOff>
    </xdr:from>
    <xdr:to>
      <xdr:col>11</xdr:col>
      <xdr:colOff>251567</xdr:colOff>
      <xdr:row>11</xdr:row>
      <xdr:rowOff>9525</xdr:rowOff>
    </xdr:to>
    <xdr:grpSp>
      <xdr:nvGrpSpPr>
        <xdr:cNvPr id="25" name="Grupo 24"/>
        <xdr:cNvGrpSpPr/>
      </xdr:nvGrpSpPr>
      <xdr:grpSpPr>
        <a:xfrm>
          <a:off x="4333875" y="1714500"/>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6220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20</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7</xdr:col>
      <xdr:colOff>219076</xdr:colOff>
      <xdr:row>9</xdr:row>
      <xdr:rowOff>114300</xdr:rowOff>
    </xdr:from>
    <xdr:to>
      <xdr:col>12</xdr:col>
      <xdr:colOff>376322</xdr:colOff>
      <xdr:row>24</xdr:row>
      <xdr:rowOff>152398</xdr:rowOff>
    </xdr:to>
    <xdr:grpSp>
      <xdr:nvGrpSpPr>
        <xdr:cNvPr id="2" name="54 Grupo"/>
        <xdr:cNvGrpSpPr>
          <a:grpSpLocks/>
        </xdr:cNvGrpSpPr>
      </xdr:nvGrpSpPr>
      <xdr:grpSpPr>
        <a:xfrm>
          <a:off x="5715001" y="2000250"/>
          <a:ext cx="3967246" cy="2895598"/>
          <a:chOff x="0" y="-76203"/>
          <a:chExt cx="3967842" cy="2895717"/>
        </a:xfrm>
      </xdr:grpSpPr>
      <xdr:cxnSp macro="">
        <xdr:nvCxnSpPr>
          <xdr:cNvPr id="3" name="24 Conector recto"/>
          <xdr:cNvCxnSpPr/>
        </xdr:nvCxnSpPr>
        <xdr:spPr>
          <a:xfrm flipH="1">
            <a:off x="426984" y="1342039"/>
            <a:ext cx="6648" cy="365892"/>
          </a:xfrm>
          <a:prstGeom prst="line">
            <a:avLst/>
          </a:prstGeom>
          <a:ln>
            <a:headEnd type="none" w="med" len="med"/>
            <a:tailEnd type="triangle" w="med" len="med"/>
          </a:ln>
        </xdr:spPr>
        <xdr:style>
          <a:lnRef idx="1">
            <a:schemeClr val="accent6"/>
          </a:lnRef>
          <a:fillRef idx="0">
            <a:schemeClr val="accent6"/>
          </a:fillRef>
          <a:effectRef idx="0">
            <a:schemeClr val="accent6"/>
          </a:effectRef>
          <a:fontRef idx="minor">
            <a:schemeClr val="tx1"/>
          </a:fontRef>
        </xdr:style>
      </xdr:cxnSp>
      <xdr:sp macro="" textlink="">
        <xdr:nvSpPr>
          <xdr:cNvPr id="4" name="45 CuadroTexto"/>
          <xdr:cNvSpPr txBox="1"/>
        </xdr:nvSpPr>
        <xdr:spPr>
          <a:xfrm>
            <a:off x="264072" y="1722383"/>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grpSp>
        <xdr:nvGrpSpPr>
          <xdr:cNvPr id="5" name="53 Grupo"/>
          <xdr:cNvGrpSpPr/>
        </xdr:nvGrpSpPr>
        <xdr:grpSpPr>
          <a:xfrm>
            <a:off x="0" y="-76203"/>
            <a:ext cx="3967842" cy="2895717"/>
            <a:chOff x="0" y="-76203"/>
            <a:chExt cx="3967842" cy="2895717"/>
          </a:xfrm>
        </xdr:grpSpPr>
        <xdr:cxnSp macro="">
          <xdr:nvCxnSpPr>
            <xdr:cNvPr id="6" name="35 Conector recto"/>
            <xdr:cNvCxnSpPr/>
          </xdr:nvCxnSpPr>
          <xdr:spPr>
            <a:xfrm flipH="1">
              <a:off x="3049956" y="585952"/>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7" name="36 Conector recto"/>
            <xdr:cNvCxnSpPr/>
          </xdr:nvCxnSpPr>
          <xdr:spPr>
            <a:xfrm flipH="1">
              <a:off x="3327166" y="593835"/>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cxnSp macro="">
          <xdr:nvCxnSpPr>
            <xdr:cNvPr id="8" name="37 Conector recto"/>
            <xdr:cNvCxnSpPr/>
          </xdr:nvCxnSpPr>
          <xdr:spPr>
            <a:xfrm flipH="1">
              <a:off x="3597807" y="588579"/>
              <a:ext cx="5928" cy="747793"/>
            </a:xfrm>
            <a:prstGeom prst="line">
              <a:avLst/>
            </a:prstGeom>
            <a:ln>
              <a:headEnd type="triangle" w="med" len="med"/>
              <a:tailEnd type="none" w="med" len="med"/>
            </a:ln>
          </xdr:spPr>
          <xdr:style>
            <a:lnRef idx="1">
              <a:schemeClr val="accent2"/>
            </a:lnRef>
            <a:fillRef idx="0">
              <a:schemeClr val="accent2"/>
            </a:fillRef>
            <a:effectRef idx="0">
              <a:schemeClr val="accent2"/>
            </a:effectRef>
            <a:fontRef idx="minor">
              <a:schemeClr val="tx1"/>
            </a:fontRef>
          </xdr:style>
        </xdr:cxnSp>
        <xdr:grpSp>
          <xdr:nvGrpSpPr>
            <xdr:cNvPr id="9" name="52 Grupo"/>
            <xdr:cNvGrpSpPr/>
          </xdr:nvGrpSpPr>
          <xdr:grpSpPr>
            <a:xfrm>
              <a:off x="0" y="-76203"/>
              <a:ext cx="3967842" cy="2895717"/>
              <a:chOff x="0" y="-76203"/>
              <a:chExt cx="3967842" cy="2895717"/>
            </a:xfrm>
          </xdr:grpSpPr>
          <xdr:grpSp>
            <xdr:nvGrpSpPr>
              <xdr:cNvPr id="11" name="51 Grupo"/>
              <xdr:cNvGrpSpPr/>
            </xdr:nvGrpSpPr>
            <xdr:grpSpPr>
              <a:xfrm>
                <a:off x="0" y="-76203"/>
                <a:ext cx="3967842" cy="2541123"/>
                <a:chOff x="0" y="-76203"/>
                <a:chExt cx="3967842" cy="2541123"/>
              </a:xfrm>
            </xdr:grpSpPr>
            <xdr:cxnSp macro="">
              <xdr:nvCxnSpPr>
                <xdr:cNvPr id="13" name="38 Conector recto"/>
                <xdr:cNvCxnSpPr/>
              </xdr:nvCxnSpPr>
              <xdr:spPr>
                <a:xfrm>
                  <a:off x="3049314" y="1341382"/>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cxnSp macro="">
              <xdr:nvCxnSpPr>
                <xdr:cNvPr id="14" name="39 Conector recto"/>
                <xdr:cNvCxnSpPr/>
              </xdr:nvCxnSpPr>
              <xdr:spPr>
                <a:xfrm>
                  <a:off x="3326525" y="1349265"/>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cxnSp macro="">
              <xdr:nvCxnSpPr>
                <xdr:cNvPr id="15" name="40 Conector recto"/>
                <xdr:cNvCxnSpPr/>
              </xdr:nvCxnSpPr>
              <xdr:spPr>
                <a:xfrm>
                  <a:off x="3597166" y="1344010"/>
                  <a:ext cx="641" cy="1115655"/>
                </a:xfrm>
                <a:prstGeom prst="line">
                  <a:avLst/>
                </a:prstGeom>
                <a:ln>
                  <a:headEnd type="none" w="med" len="med"/>
                  <a:tailEnd type="triangle" w="med" len="med"/>
                </a:ln>
              </xdr:spPr>
              <xdr:style>
                <a:lnRef idx="1">
                  <a:schemeClr val="accent5"/>
                </a:lnRef>
                <a:fillRef idx="0">
                  <a:schemeClr val="accent5"/>
                </a:fillRef>
                <a:effectRef idx="0">
                  <a:schemeClr val="accent5"/>
                </a:effectRef>
                <a:fontRef idx="minor">
                  <a:schemeClr val="tx1"/>
                </a:fontRef>
              </xdr:style>
            </xdr:cxnSp>
            <xdr:grpSp>
              <xdr:nvGrpSpPr>
                <xdr:cNvPr id="16" name="50 Grupo"/>
                <xdr:cNvGrpSpPr/>
              </xdr:nvGrpSpPr>
              <xdr:grpSpPr>
                <a:xfrm>
                  <a:off x="0" y="-76203"/>
                  <a:ext cx="3967842" cy="2027185"/>
                  <a:chOff x="0" y="-76203"/>
                  <a:chExt cx="3967842" cy="2027185"/>
                </a:xfrm>
              </xdr:grpSpPr>
              <xdr:cxnSp macro="">
                <xdr:nvCxnSpPr>
                  <xdr:cNvPr id="17" name="27 Conector recto"/>
                  <xdr:cNvCxnSpPr/>
                </xdr:nvCxnSpPr>
                <xdr:spPr>
                  <a:xfrm flipH="1">
                    <a:off x="2180897" y="1340073"/>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8" name="28 Conector recto"/>
                  <xdr:cNvCxnSpPr/>
                </xdr:nvCxnSpPr>
                <xdr:spPr>
                  <a:xfrm flipH="1">
                    <a:off x="2477814" y="1347956"/>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cxnSp macro="">
                <xdr:nvCxnSpPr>
                  <xdr:cNvPr id="19" name="29 Conector recto"/>
                  <xdr:cNvCxnSpPr/>
                </xdr:nvCxnSpPr>
                <xdr:spPr>
                  <a:xfrm flipH="1">
                    <a:off x="2774731" y="1342701"/>
                    <a:ext cx="5005" cy="37685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sp macro="" textlink="">
                <xdr:nvSpPr>
                  <xdr:cNvPr id="20" name="41 CuadroTexto"/>
                  <xdr:cNvSpPr txBox="1"/>
                </xdr:nvSpPr>
                <xdr:spPr>
                  <a:xfrm>
                    <a:off x="2174328" y="1740775"/>
                    <a:ext cx="426983"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grpSp>
                <xdr:nvGrpSpPr>
                  <xdr:cNvPr id="21" name="49 Grupo"/>
                  <xdr:cNvGrpSpPr/>
                </xdr:nvGrpSpPr>
                <xdr:grpSpPr>
                  <a:xfrm>
                    <a:off x="0" y="-76203"/>
                    <a:ext cx="3967842" cy="1786999"/>
                    <a:chOff x="0" y="-76203"/>
                    <a:chExt cx="3967842" cy="1786999"/>
                  </a:xfrm>
                </xdr:grpSpPr>
                <xdr:grpSp>
                  <xdr:nvGrpSpPr>
                    <xdr:cNvPr id="22" name="1 Grupo"/>
                    <xdr:cNvGrpSpPr/>
                  </xdr:nvGrpSpPr>
                  <xdr:grpSpPr>
                    <a:xfrm>
                      <a:off x="0" y="968892"/>
                      <a:ext cx="3967842" cy="741904"/>
                      <a:chOff x="0" y="968388"/>
                      <a:chExt cx="3927797" cy="627846"/>
                    </a:xfrm>
                  </xdr:grpSpPr>
                  <xdr:grpSp>
                    <xdr:nvGrpSpPr>
                      <xdr:cNvPr id="28" name="2 Grupo"/>
                      <xdr:cNvGrpSpPr/>
                    </xdr:nvGrpSpPr>
                    <xdr:grpSpPr>
                      <a:xfrm>
                        <a:off x="116196" y="968388"/>
                        <a:ext cx="3811601" cy="627846"/>
                        <a:chOff x="116196" y="968388"/>
                        <a:chExt cx="3811601" cy="627846"/>
                      </a:xfrm>
                    </xdr:grpSpPr>
                    <xdr:grpSp>
                      <xdr:nvGrpSpPr>
                        <xdr:cNvPr id="30" name="4 Grupo"/>
                        <xdr:cNvGrpSpPr/>
                      </xdr:nvGrpSpPr>
                      <xdr:grpSpPr>
                        <a:xfrm>
                          <a:off x="116196" y="968388"/>
                          <a:ext cx="3811601" cy="627846"/>
                          <a:chOff x="116196" y="965616"/>
                          <a:chExt cx="3479006" cy="173846"/>
                        </a:xfrm>
                      </xdr:grpSpPr>
                      <xdr:cxnSp macro="">
                        <xdr:nvCxnSpPr>
                          <xdr:cNvPr id="43" name="21 Conector recto de flecha"/>
                          <xdr:cNvCxnSpPr/>
                        </xdr:nvCxnSpPr>
                        <xdr:spPr>
                          <a:xfrm>
                            <a:off x="116196" y="1053554"/>
                            <a:ext cx="3479006" cy="13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4" name="22 Conector recto"/>
                          <xdr:cNvCxnSpPr/>
                        </xdr:nvCxnSpPr>
                        <xdr:spPr>
                          <a:xfrm>
                            <a:off x="930104" y="965616"/>
                            <a:ext cx="1774" cy="89098"/>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45" name="23 Conector recto"/>
                          <xdr:cNvCxnSpPr/>
                        </xdr:nvCxnSpPr>
                        <xdr:spPr>
                          <a:xfrm flipH="1">
                            <a:off x="1713086" y="1051085"/>
                            <a:ext cx="4522" cy="88377"/>
                          </a:xfrm>
                          <a:prstGeom prst="line">
                            <a:avLst/>
                          </a:prstGeom>
                          <a:ln>
                            <a:headEnd type="none" w="med" len="med"/>
                            <a:tailEnd type="triangle" w="med" len="med"/>
                          </a:ln>
                        </xdr:spPr>
                        <xdr:style>
                          <a:lnRef idx="1">
                            <a:schemeClr val="accent3"/>
                          </a:lnRef>
                          <a:fillRef idx="0">
                            <a:schemeClr val="accent3"/>
                          </a:fillRef>
                          <a:effectRef idx="0">
                            <a:schemeClr val="accent3"/>
                          </a:effectRef>
                          <a:fontRef idx="minor">
                            <a:schemeClr val="tx1"/>
                          </a:fontRef>
                        </xdr:style>
                      </xdr:cxnSp>
                    </xdr:grpSp>
                    <xdr:sp macro="" textlink="">
                      <xdr:nvSpPr>
                        <xdr:cNvPr id="31" name="5 CuadroTexto"/>
                        <xdr:cNvSpPr txBox="1"/>
                      </xdr:nvSpPr>
                      <xdr:spPr>
                        <a:xfrm>
                          <a:off x="306608" y="106247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a:t>
                          </a:r>
                          <a:endParaRPr lang="en-US" sz="1200">
                            <a:effectLst/>
                            <a:latin typeface="Times New Roman" panose="02020603050405020304" pitchFamily="18" charset="0"/>
                            <a:ea typeface="MS Mincho" panose="02020609040205080304" pitchFamily="49" charset="-128"/>
                          </a:endParaRPr>
                        </a:p>
                      </xdr:txBody>
                    </xdr:sp>
                    <xdr:sp macro="" textlink="">
                      <xdr:nvSpPr>
                        <xdr:cNvPr id="32" name="6 CuadroTexto"/>
                        <xdr:cNvSpPr txBox="1"/>
                      </xdr:nvSpPr>
                      <xdr:spPr>
                        <a:xfrm>
                          <a:off x="599687" y="1066271"/>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2</a:t>
                          </a:r>
                          <a:endParaRPr lang="en-US" sz="1200">
                            <a:effectLst/>
                            <a:latin typeface="Times New Roman" panose="02020603050405020304" pitchFamily="18" charset="0"/>
                            <a:ea typeface="MS Mincho" panose="02020609040205080304" pitchFamily="49" charset="-128"/>
                          </a:endParaRPr>
                        </a:p>
                      </xdr:txBody>
                    </xdr:sp>
                    <xdr:sp macro="" textlink="">
                      <xdr:nvSpPr>
                        <xdr:cNvPr id="33" name="7 CuadroTexto"/>
                        <xdr:cNvSpPr txBox="1"/>
                      </xdr:nvSpPr>
                      <xdr:spPr>
                        <a:xfrm>
                          <a:off x="911451" y="1299752"/>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3</a:t>
                          </a:r>
                          <a:endParaRPr lang="en-US" sz="1200">
                            <a:effectLst/>
                            <a:latin typeface="Times New Roman" panose="02020603050405020304" pitchFamily="18" charset="0"/>
                            <a:ea typeface="MS Mincho" panose="02020609040205080304" pitchFamily="49" charset="-128"/>
                          </a:endParaRPr>
                        </a:p>
                      </xdr:txBody>
                    </xdr:sp>
                    <xdr:sp macro="" textlink="">
                      <xdr:nvSpPr>
                        <xdr:cNvPr id="34" name="8 CuadroTexto"/>
                        <xdr:cNvSpPr txBox="1"/>
                      </xdr:nvSpPr>
                      <xdr:spPr>
                        <a:xfrm>
                          <a:off x="1211034" y="1292424"/>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4</a:t>
                          </a:r>
                          <a:endParaRPr lang="en-US" sz="1200">
                            <a:effectLst/>
                            <a:latin typeface="Times New Roman" panose="02020603050405020304" pitchFamily="18" charset="0"/>
                            <a:ea typeface="MS Mincho" panose="02020609040205080304" pitchFamily="49" charset="-128"/>
                          </a:endParaRPr>
                        </a:p>
                      </xdr:txBody>
                    </xdr:sp>
                    <xdr:sp macro="" textlink="">
                      <xdr:nvSpPr>
                        <xdr:cNvPr id="35" name="9 CuadroTexto"/>
                        <xdr:cNvSpPr txBox="1"/>
                      </xdr:nvSpPr>
                      <xdr:spPr>
                        <a:xfrm>
                          <a:off x="1463449" y="1288634"/>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5</a:t>
                          </a:r>
                          <a:endParaRPr lang="en-US" sz="1200">
                            <a:effectLst/>
                            <a:latin typeface="Times New Roman" panose="02020603050405020304" pitchFamily="18" charset="0"/>
                            <a:ea typeface="MS Mincho" panose="02020609040205080304" pitchFamily="49" charset="-128"/>
                          </a:endParaRPr>
                        </a:p>
                      </xdr:txBody>
                    </xdr:sp>
                    <xdr:sp macro="" textlink="">
                      <xdr:nvSpPr>
                        <xdr:cNvPr id="36" name="10 CuadroTexto"/>
                        <xdr:cNvSpPr txBox="1"/>
                      </xdr:nvSpPr>
                      <xdr:spPr>
                        <a:xfrm>
                          <a:off x="1750027" y="10700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6</a:t>
                          </a:r>
                          <a:endParaRPr lang="en-US" sz="1200">
                            <a:effectLst/>
                            <a:latin typeface="Times New Roman" panose="02020603050405020304" pitchFamily="18" charset="0"/>
                            <a:ea typeface="MS Mincho" panose="02020609040205080304" pitchFamily="49" charset="-128"/>
                          </a:endParaRPr>
                        </a:p>
                      </xdr:txBody>
                    </xdr:sp>
                    <xdr:sp macro="" textlink="">
                      <xdr:nvSpPr>
                        <xdr:cNvPr id="37" name="11 CuadroTexto"/>
                        <xdr:cNvSpPr txBox="1"/>
                      </xdr:nvSpPr>
                      <xdr:spPr>
                        <a:xfrm>
                          <a:off x="2035780" y="1070060"/>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7</a:t>
                          </a:r>
                          <a:endParaRPr lang="en-US" sz="1200">
                            <a:effectLst/>
                            <a:latin typeface="Times New Roman" panose="02020603050405020304" pitchFamily="18" charset="0"/>
                            <a:ea typeface="MS Mincho" panose="02020609040205080304" pitchFamily="49" charset="-128"/>
                          </a:endParaRPr>
                        </a:p>
                      </xdr:txBody>
                    </xdr:sp>
                    <xdr:sp macro="" textlink="">
                      <xdr:nvSpPr>
                        <xdr:cNvPr id="38" name="12 CuadroTexto"/>
                        <xdr:cNvSpPr txBox="1"/>
                      </xdr:nvSpPr>
                      <xdr:spPr>
                        <a:xfrm>
                          <a:off x="2328859" y="1073849"/>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8</a:t>
                          </a:r>
                          <a:endParaRPr lang="en-US" sz="1200">
                            <a:effectLst/>
                            <a:latin typeface="Times New Roman" panose="02020603050405020304" pitchFamily="18" charset="0"/>
                            <a:ea typeface="MS Mincho" panose="02020609040205080304" pitchFamily="49" charset="-128"/>
                          </a:endParaRPr>
                        </a:p>
                      </xdr:txBody>
                    </xdr:sp>
                    <xdr:sp macro="" textlink="">
                      <xdr:nvSpPr>
                        <xdr:cNvPr id="39" name="13 CuadroTexto"/>
                        <xdr:cNvSpPr txBox="1"/>
                      </xdr:nvSpPr>
                      <xdr:spPr>
                        <a:xfrm>
                          <a:off x="2607286" y="1066271"/>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9</a:t>
                          </a:r>
                          <a:endParaRPr lang="en-US" sz="1200">
                            <a:effectLst/>
                            <a:latin typeface="Times New Roman" panose="02020603050405020304" pitchFamily="18" charset="0"/>
                            <a:ea typeface="MS Mincho" panose="02020609040205080304" pitchFamily="49" charset="-128"/>
                          </a:endParaRPr>
                        </a:p>
                      </xdr:txBody>
                    </xdr:sp>
                    <xdr:sp macro="" textlink="">
                      <xdr:nvSpPr>
                        <xdr:cNvPr id="40" name="14 CuadroTexto"/>
                        <xdr:cNvSpPr txBox="1"/>
                      </xdr:nvSpPr>
                      <xdr:spPr>
                        <a:xfrm>
                          <a:off x="2841748" y="1070060"/>
                          <a:ext cx="34156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10</a:t>
                          </a:r>
                          <a:endParaRPr lang="en-US" sz="1200">
                            <a:effectLst/>
                            <a:latin typeface="Times New Roman" panose="02020603050405020304" pitchFamily="18" charset="0"/>
                            <a:ea typeface="MS Mincho" panose="02020609040205080304" pitchFamily="49" charset="-128"/>
                          </a:endParaRPr>
                        </a:p>
                      </xdr:txBody>
                    </xdr:sp>
                    <xdr:sp macro="" textlink="">
                      <xdr:nvSpPr>
                        <xdr:cNvPr id="41" name="15 CuadroTexto"/>
                        <xdr:cNvSpPr txBox="1"/>
                      </xdr:nvSpPr>
                      <xdr:spPr>
                        <a:xfrm>
                          <a:off x="3127501" y="1070060"/>
                          <a:ext cx="33423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11</a:t>
                          </a:r>
                          <a:endParaRPr lang="en-US" sz="1200">
                            <a:effectLst/>
                            <a:latin typeface="Times New Roman" panose="02020603050405020304" pitchFamily="18" charset="0"/>
                            <a:ea typeface="MS Mincho" panose="02020609040205080304" pitchFamily="49" charset="-128"/>
                          </a:endParaRPr>
                        </a:p>
                      </xdr:txBody>
                    </xdr:sp>
                    <xdr:sp macro="" textlink="">
                      <xdr:nvSpPr>
                        <xdr:cNvPr id="42" name="16 CuadroTexto"/>
                        <xdr:cNvSpPr txBox="1"/>
                      </xdr:nvSpPr>
                      <xdr:spPr>
                        <a:xfrm>
                          <a:off x="3410444" y="1073849"/>
                          <a:ext cx="365623"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12</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29" name="3 CuadroTexto"/>
                      <xdr:cNvSpPr txBox="1"/>
                    </xdr:nvSpPr>
                    <xdr:spPr>
                      <a:xfrm>
                        <a:off x="0" y="1255878"/>
                        <a:ext cx="2162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1100">
                            <a:solidFill>
                              <a:srgbClr val="000000"/>
                            </a:solidFill>
                            <a:effectLst/>
                            <a:ea typeface="MS Mincho" panose="02020609040205080304" pitchFamily="49" charset="-128"/>
                            <a:cs typeface="Times New Roman" panose="02020603050405020304" pitchFamily="18" charset="0"/>
                          </a:rPr>
                          <a:t>0</a:t>
                        </a:r>
                        <a:endParaRPr lang="en-US" sz="1200">
                          <a:effectLst/>
                          <a:latin typeface="Times New Roman" panose="02020603050405020304" pitchFamily="18" charset="0"/>
                          <a:ea typeface="MS Mincho" panose="02020609040205080304" pitchFamily="49" charset="-128"/>
                        </a:endParaRPr>
                      </a:p>
                    </xdr:txBody>
                  </xdr:sp>
                </xdr:grpSp>
                <xdr:cxnSp macro="">
                  <xdr:nvCxnSpPr>
                    <xdr:cNvPr id="23" name="30 Conector recto"/>
                    <xdr:cNvCxnSpPr/>
                  </xdr:nvCxnSpPr>
                  <xdr:spPr>
                    <a:xfrm>
                      <a:off x="1583121" y="216776"/>
                      <a:ext cx="641" cy="1115655"/>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cxnSp macro="">
                  <xdr:nvCxnSpPr>
                    <xdr:cNvPr id="24" name="31 Conector recto"/>
                    <xdr:cNvCxnSpPr/>
                  </xdr:nvCxnSpPr>
                  <xdr:spPr>
                    <a:xfrm flipH="1">
                      <a:off x="1314435" y="584638"/>
                      <a:ext cx="5928" cy="747793"/>
                    </a:xfrm>
                    <a:prstGeom prst="line">
                      <a:avLst/>
                    </a:prstGeom>
                    <a:ln>
                      <a:headEnd type="triangle" w="med" len="med"/>
                      <a:tailEnd type="none" w="med" len="med"/>
                    </a:ln>
                  </xdr:spPr>
                  <xdr:style>
                    <a:lnRef idx="1">
                      <a:schemeClr val="accent4"/>
                    </a:lnRef>
                    <a:fillRef idx="0">
                      <a:schemeClr val="accent4"/>
                    </a:fillRef>
                    <a:effectRef idx="0">
                      <a:schemeClr val="accent4"/>
                    </a:effectRef>
                    <a:fontRef idx="minor">
                      <a:schemeClr val="tx1"/>
                    </a:fontRef>
                  </xdr:style>
                </xdr:cxnSp>
                <xdr:sp macro="" textlink="">
                  <xdr:nvSpPr>
                    <xdr:cNvPr id="25" name="42 CuadroTexto"/>
                    <xdr:cNvSpPr txBox="1"/>
                  </xdr:nvSpPr>
                  <xdr:spPr>
                    <a:xfrm>
                      <a:off x="848711" y="769882"/>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$20</a:t>
                      </a:r>
                      <a:endParaRPr lang="en-US" sz="1200">
                        <a:effectLst/>
                        <a:latin typeface="Times New Roman" panose="02020603050405020304" pitchFamily="18" charset="0"/>
                        <a:ea typeface="MS Mincho" panose="02020609040205080304" pitchFamily="49" charset="-128"/>
                      </a:endParaRPr>
                    </a:p>
                  </xdr:txBody>
                </xdr:sp>
                <xdr:sp macro="" textlink="">
                  <xdr:nvSpPr>
                    <xdr:cNvPr id="26" name="43 CuadroTexto"/>
                    <xdr:cNvSpPr txBox="1"/>
                  </xdr:nvSpPr>
                  <xdr:spPr>
                    <a:xfrm>
                      <a:off x="1139059" y="390196"/>
                      <a:ext cx="366548"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$40</a:t>
                      </a:r>
                      <a:endParaRPr lang="en-US" sz="1200">
                        <a:effectLst/>
                        <a:latin typeface="Times New Roman" panose="02020603050405020304" pitchFamily="18" charset="0"/>
                        <a:ea typeface="MS Mincho" panose="02020609040205080304" pitchFamily="49" charset="-128"/>
                      </a:endParaRPr>
                    </a:p>
                  </xdr:txBody>
                </xdr:sp>
                <xdr:sp macro="" textlink="">
                  <xdr:nvSpPr>
                    <xdr:cNvPr id="27" name="44 CuadroTexto"/>
                    <xdr:cNvSpPr txBox="1"/>
                  </xdr:nvSpPr>
                  <xdr:spPr>
                    <a:xfrm>
                      <a:off x="1405758" y="-76203"/>
                      <a:ext cx="366548" cy="286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$60</a:t>
                      </a:r>
                      <a:endParaRPr lang="en-US" sz="1200">
                        <a:effectLst/>
                        <a:latin typeface="Times New Roman" panose="02020603050405020304" pitchFamily="18" charset="0"/>
                        <a:ea typeface="MS Mincho" panose="02020609040205080304" pitchFamily="49" charset="-128"/>
                      </a:endParaRPr>
                    </a:p>
                  </xdr:txBody>
                </xdr:sp>
              </xdr:grpSp>
            </xdr:grpSp>
          </xdr:grpSp>
          <xdr:sp macro="" textlink="">
            <xdr:nvSpPr>
              <xdr:cNvPr id="12" name="46 CuadroTexto"/>
              <xdr:cNvSpPr txBox="1"/>
            </xdr:nvSpPr>
            <xdr:spPr>
              <a:xfrm>
                <a:off x="3180693" y="2517228"/>
                <a:ext cx="366548" cy="302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$60</a:t>
                </a:r>
                <a:endParaRPr lang="en-US" sz="1200">
                  <a:effectLst/>
                  <a:latin typeface="Times New Roman" panose="02020603050405020304" pitchFamily="18" charset="0"/>
                  <a:ea typeface="MS Mincho" panose="02020609040205080304" pitchFamily="49" charset="-128"/>
                </a:endParaRPr>
              </a:p>
            </xdr:txBody>
          </xdr:sp>
        </xdr:grpSp>
        <xdr:sp macro="" textlink="">
          <xdr:nvSpPr>
            <xdr:cNvPr id="10" name="47 CuadroTexto"/>
            <xdr:cNvSpPr txBox="1"/>
          </xdr:nvSpPr>
          <xdr:spPr>
            <a:xfrm>
              <a:off x="3124200" y="247660"/>
              <a:ext cx="366548" cy="242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spcAft>
                  <a:spcPts val="0"/>
                </a:spcAft>
              </a:pPr>
              <a:r>
                <a:rPr lang="es-CO" sz="900">
                  <a:solidFill>
                    <a:srgbClr val="000000"/>
                  </a:solidFill>
                  <a:effectLst/>
                  <a:ea typeface="MS Mincho" panose="02020609040205080304" pitchFamily="49" charset="-128"/>
                  <a:cs typeface="Times New Roman" panose="02020603050405020304" pitchFamily="18" charset="0"/>
                </a:rPr>
                <a:t>$40</a:t>
              </a:r>
              <a:endParaRPr lang="en-US" sz="1200">
                <a:effectLst/>
                <a:latin typeface="Times New Roman" panose="02020603050405020304" pitchFamily="18" charset="0"/>
                <a:ea typeface="MS Mincho" panose="02020609040205080304" pitchFamily="49" charset="-128"/>
              </a:endParaRP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25</xdr:row>
      <xdr:rowOff>171450</xdr:rowOff>
    </xdr:from>
    <xdr:to>
      <xdr:col>11</xdr:col>
      <xdr:colOff>9525</xdr:colOff>
      <xdr:row>25</xdr:row>
      <xdr:rowOff>180975</xdr:rowOff>
    </xdr:to>
    <xdr:cxnSp macro="">
      <xdr:nvCxnSpPr>
        <xdr:cNvPr id="3" name="Conector recto 2"/>
        <xdr:cNvCxnSpPr/>
      </xdr:nvCxnSpPr>
      <xdr:spPr>
        <a:xfrm flipV="1">
          <a:off x="771525" y="5153025"/>
          <a:ext cx="7620000"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24</xdr:row>
      <xdr:rowOff>180975</xdr:rowOff>
    </xdr:from>
    <xdr:to>
      <xdr:col>0</xdr:col>
      <xdr:colOff>752475</xdr:colOff>
      <xdr:row>26</xdr:row>
      <xdr:rowOff>180975</xdr:rowOff>
    </xdr:to>
    <xdr:cxnSp macro="">
      <xdr:nvCxnSpPr>
        <xdr:cNvPr id="6" name="Conector recto 5"/>
        <xdr:cNvCxnSpPr/>
      </xdr:nvCxnSpPr>
      <xdr:spPr>
        <a:xfrm>
          <a:off x="75247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25</xdr:row>
      <xdr:rowOff>0</xdr:rowOff>
    </xdr:from>
    <xdr:to>
      <xdr:col>2</xdr:col>
      <xdr:colOff>0</xdr:colOff>
      <xdr:row>27</xdr:row>
      <xdr:rowOff>0</xdr:rowOff>
    </xdr:to>
    <xdr:cxnSp macro="">
      <xdr:nvCxnSpPr>
        <xdr:cNvPr id="8" name="Conector recto 7"/>
        <xdr:cNvCxnSpPr/>
      </xdr:nvCxnSpPr>
      <xdr:spPr>
        <a:xfrm>
          <a:off x="1524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25</xdr:row>
      <xdr:rowOff>9525</xdr:rowOff>
    </xdr:from>
    <xdr:to>
      <xdr:col>3</xdr:col>
      <xdr:colOff>9525</xdr:colOff>
      <xdr:row>27</xdr:row>
      <xdr:rowOff>9525</xdr:rowOff>
    </xdr:to>
    <xdr:cxnSp macro="">
      <xdr:nvCxnSpPr>
        <xdr:cNvPr id="9" name="Conector recto 8"/>
        <xdr:cNvCxnSpPr/>
      </xdr:nvCxnSpPr>
      <xdr:spPr>
        <a:xfrm>
          <a:off x="2295525"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25</xdr:row>
      <xdr:rowOff>0</xdr:rowOff>
    </xdr:from>
    <xdr:to>
      <xdr:col>4</xdr:col>
      <xdr:colOff>0</xdr:colOff>
      <xdr:row>27</xdr:row>
      <xdr:rowOff>0</xdr:rowOff>
    </xdr:to>
    <xdr:cxnSp macro="">
      <xdr:nvCxnSpPr>
        <xdr:cNvPr id="10" name="Conector recto 9"/>
        <xdr:cNvCxnSpPr/>
      </xdr:nvCxnSpPr>
      <xdr:spPr>
        <a:xfrm>
          <a:off x="3048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25</xdr:row>
      <xdr:rowOff>0</xdr:rowOff>
    </xdr:from>
    <xdr:to>
      <xdr:col>5</xdr:col>
      <xdr:colOff>0</xdr:colOff>
      <xdr:row>27</xdr:row>
      <xdr:rowOff>0</xdr:rowOff>
    </xdr:to>
    <xdr:cxnSp macro="">
      <xdr:nvCxnSpPr>
        <xdr:cNvPr id="11" name="Conector recto 10"/>
        <xdr:cNvCxnSpPr/>
      </xdr:nvCxnSpPr>
      <xdr:spPr>
        <a:xfrm>
          <a:off x="381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25</xdr:row>
      <xdr:rowOff>0</xdr:rowOff>
    </xdr:from>
    <xdr:to>
      <xdr:col>6</xdr:col>
      <xdr:colOff>0</xdr:colOff>
      <xdr:row>27</xdr:row>
      <xdr:rowOff>0</xdr:rowOff>
    </xdr:to>
    <xdr:cxnSp macro="">
      <xdr:nvCxnSpPr>
        <xdr:cNvPr id="12" name="Conector recto 11"/>
        <xdr:cNvCxnSpPr/>
      </xdr:nvCxnSpPr>
      <xdr:spPr>
        <a:xfrm>
          <a:off x="457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25</xdr:row>
      <xdr:rowOff>9525</xdr:rowOff>
    </xdr:from>
    <xdr:to>
      <xdr:col>7</xdr:col>
      <xdr:colOff>0</xdr:colOff>
      <xdr:row>27</xdr:row>
      <xdr:rowOff>9525</xdr:rowOff>
    </xdr:to>
    <xdr:cxnSp macro="">
      <xdr:nvCxnSpPr>
        <xdr:cNvPr id="13" name="Conector recto 12"/>
        <xdr:cNvCxnSpPr/>
      </xdr:nvCxnSpPr>
      <xdr:spPr>
        <a:xfrm>
          <a:off x="5334000"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25</xdr:row>
      <xdr:rowOff>0</xdr:rowOff>
    </xdr:from>
    <xdr:to>
      <xdr:col>8</xdr:col>
      <xdr:colOff>0</xdr:colOff>
      <xdr:row>27</xdr:row>
      <xdr:rowOff>0</xdr:rowOff>
    </xdr:to>
    <xdr:cxnSp macro="">
      <xdr:nvCxnSpPr>
        <xdr:cNvPr id="14" name="Conector recto 13"/>
        <xdr:cNvCxnSpPr/>
      </xdr:nvCxnSpPr>
      <xdr:spPr>
        <a:xfrm>
          <a:off x="6096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25</xdr:row>
      <xdr:rowOff>0</xdr:rowOff>
    </xdr:from>
    <xdr:to>
      <xdr:col>9</xdr:col>
      <xdr:colOff>9525</xdr:colOff>
      <xdr:row>27</xdr:row>
      <xdr:rowOff>0</xdr:rowOff>
    </xdr:to>
    <xdr:cxnSp macro="">
      <xdr:nvCxnSpPr>
        <xdr:cNvPr id="15" name="Conector recto 14"/>
        <xdr:cNvCxnSpPr/>
      </xdr:nvCxnSpPr>
      <xdr:spPr>
        <a:xfrm>
          <a:off x="6867525"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25</xdr:row>
      <xdr:rowOff>0</xdr:rowOff>
    </xdr:from>
    <xdr:to>
      <xdr:col>10</xdr:col>
      <xdr:colOff>0</xdr:colOff>
      <xdr:row>27</xdr:row>
      <xdr:rowOff>0</xdr:rowOff>
    </xdr:to>
    <xdr:cxnSp macro="">
      <xdr:nvCxnSpPr>
        <xdr:cNvPr id="16" name="Conector recto 15"/>
        <xdr:cNvCxnSpPr/>
      </xdr:nvCxnSpPr>
      <xdr:spPr>
        <a:xfrm>
          <a:off x="762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25</xdr:row>
      <xdr:rowOff>0</xdr:rowOff>
    </xdr:from>
    <xdr:to>
      <xdr:col>11</xdr:col>
      <xdr:colOff>0</xdr:colOff>
      <xdr:row>27</xdr:row>
      <xdr:rowOff>0</xdr:rowOff>
    </xdr:to>
    <xdr:cxnSp macro="">
      <xdr:nvCxnSpPr>
        <xdr:cNvPr id="17" name="Conector recto 16"/>
        <xdr:cNvCxnSpPr/>
      </xdr:nvCxnSpPr>
      <xdr:spPr>
        <a:xfrm>
          <a:off x="838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18</xdr:row>
      <xdr:rowOff>0</xdr:rowOff>
    </xdr:from>
    <xdr:to>
      <xdr:col>1</xdr:col>
      <xdr:colOff>0</xdr:colOff>
      <xdr:row>24</xdr:row>
      <xdr:rowOff>180975</xdr:rowOff>
    </xdr:to>
    <xdr:cxnSp macro="">
      <xdr:nvCxnSpPr>
        <xdr:cNvPr id="22" name="Conector recto de flecha 21"/>
        <xdr:cNvCxnSpPr/>
      </xdr:nvCxnSpPr>
      <xdr:spPr>
        <a:xfrm flipV="1">
          <a:off x="752475" y="4391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26</xdr:row>
      <xdr:rowOff>171450</xdr:rowOff>
    </xdr:from>
    <xdr:to>
      <xdr:col>2</xdr:col>
      <xdr:colOff>2</xdr:colOff>
      <xdr:row>28</xdr:row>
      <xdr:rowOff>57150</xdr:rowOff>
    </xdr:to>
    <xdr:cxnSp macro="">
      <xdr:nvCxnSpPr>
        <xdr:cNvPr id="24" name="Conector recto de flecha 23"/>
        <xdr:cNvCxnSpPr/>
      </xdr:nvCxnSpPr>
      <xdr:spPr>
        <a:xfrm flipH="1">
          <a:off x="1524000" y="6086475"/>
          <a:ext cx="2" cy="266700"/>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27</xdr:row>
      <xdr:rowOff>2</xdr:rowOff>
    </xdr:from>
    <xdr:to>
      <xdr:col>3</xdr:col>
      <xdr:colOff>9530</xdr:colOff>
      <xdr:row>28</xdr:row>
      <xdr:rowOff>133350</xdr:rowOff>
    </xdr:to>
    <xdr:cxnSp macro="">
      <xdr:nvCxnSpPr>
        <xdr:cNvPr id="26" name="Conector recto de flecha 25"/>
        <xdr:cNvCxnSpPr/>
      </xdr:nvCxnSpPr>
      <xdr:spPr>
        <a:xfrm flipH="1">
          <a:off x="2295525" y="6105527"/>
          <a:ext cx="5" cy="323848"/>
        </a:xfrm>
        <a:prstGeom prst="straightConnector1">
          <a:avLst/>
        </a:prstGeom>
        <a:ln w="28575">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171453</xdr:rowOff>
    </xdr:from>
    <xdr:to>
      <xdr:col>4</xdr:col>
      <xdr:colOff>4</xdr:colOff>
      <xdr:row>29</xdr:row>
      <xdr:rowOff>19050</xdr:rowOff>
    </xdr:to>
    <xdr:cxnSp macro="">
      <xdr:nvCxnSpPr>
        <xdr:cNvPr id="29" name="Conector recto de flecha 28"/>
        <xdr:cNvCxnSpPr/>
      </xdr:nvCxnSpPr>
      <xdr:spPr>
        <a:xfrm flipH="1">
          <a:off x="3048000" y="6086478"/>
          <a:ext cx="4" cy="419097"/>
        </a:xfrm>
        <a:prstGeom prst="straightConnector1">
          <a:avLst/>
        </a:prstGeom>
        <a:ln w="28575">
          <a:solidFill>
            <a:srgbClr val="92D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26</xdr:row>
      <xdr:rowOff>171453</xdr:rowOff>
    </xdr:from>
    <xdr:to>
      <xdr:col>5</xdr:col>
      <xdr:colOff>4</xdr:colOff>
      <xdr:row>29</xdr:row>
      <xdr:rowOff>104775</xdr:rowOff>
    </xdr:to>
    <xdr:cxnSp macro="">
      <xdr:nvCxnSpPr>
        <xdr:cNvPr id="32" name="Conector recto de flecha 31"/>
        <xdr:cNvCxnSpPr/>
      </xdr:nvCxnSpPr>
      <xdr:spPr>
        <a:xfrm flipH="1">
          <a:off x="3810000" y="6086478"/>
          <a:ext cx="4" cy="504822"/>
        </a:xfrm>
        <a:prstGeom prst="straightConnector1">
          <a:avLst/>
        </a:prstGeom>
        <a:ln w="28575">
          <a:solidFill>
            <a:srgbClr val="00B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26</xdr:row>
      <xdr:rowOff>180978</xdr:rowOff>
    </xdr:from>
    <xdr:to>
      <xdr:col>6</xdr:col>
      <xdr:colOff>4</xdr:colOff>
      <xdr:row>30</xdr:row>
      <xdr:rowOff>9525</xdr:rowOff>
    </xdr:to>
    <xdr:cxnSp macro="">
      <xdr:nvCxnSpPr>
        <xdr:cNvPr id="35" name="Conector recto de flecha 34"/>
        <xdr:cNvCxnSpPr/>
      </xdr:nvCxnSpPr>
      <xdr:spPr>
        <a:xfrm flipH="1">
          <a:off x="4572000" y="6096003"/>
          <a:ext cx="4" cy="590547"/>
        </a:xfrm>
        <a:prstGeom prst="straightConnector1">
          <a:avLst/>
        </a:prstGeom>
        <a:ln w="28575">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27</xdr:row>
      <xdr:rowOff>3</xdr:rowOff>
    </xdr:from>
    <xdr:to>
      <xdr:col>7</xdr:col>
      <xdr:colOff>4</xdr:colOff>
      <xdr:row>31</xdr:row>
      <xdr:rowOff>0</xdr:rowOff>
    </xdr:to>
    <xdr:cxnSp macro="">
      <xdr:nvCxnSpPr>
        <xdr:cNvPr id="37" name="Conector recto de flecha 36"/>
        <xdr:cNvCxnSpPr/>
      </xdr:nvCxnSpPr>
      <xdr:spPr>
        <a:xfrm flipH="1">
          <a:off x="5334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27</xdr:row>
      <xdr:rowOff>3</xdr:rowOff>
    </xdr:from>
    <xdr:to>
      <xdr:col>8</xdr:col>
      <xdr:colOff>4</xdr:colOff>
      <xdr:row>31</xdr:row>
      <xdr:rowOff>0</xdr:rowOff>
    </xdr:to>
    <xdr:cxnSp macro="">
      <xdr:nvCxnSpPr>
        <xdr:cNvPr id="58" name="Conector recto de flecha 57"/>
        <xdr:cNvCxnSpPr/>
      </xdr:nvCxnSpPr>
      <xdr:spPr>
        <a:xfrm flipH="1">
          <a:off x="6096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27</xdr:row>
      <xdr:rowOff>3</xdr:rowOff>
    </xdr:from>
    <xdr:to>
      <xdr:col>9</xdr:col>
      <xdr:colOff>9529</xdr:colOff>
      <xdr:row>31</xdr:row>
      <xdr:rowOff>0</xdr:rowOff>
    </xdr:to>
    <xdr:cxnSp macro="">
      <xdr:nvCxnSpPr>
        <xdr:cNvPr id="59" name="Conector recto de flecha 58"/>
        <xdr:cNvCxnSpPr/>
      </xdr:nvCxnSpPr>
      <xdr:spPr>
        <a:xfrm flipH="1">
          <a:off x="6867525"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27</xdr:row>
      <xdr:rowOff>3</xdr:rowOff>
    </xdr:from>
    <xdr:to>
      <xdr:col>10</xdr:col>
      <xdr:colOff>4</xdr:colOff>
      <xdr:row>31</xdr:row>
      <xdr:rowOff>0</xdr:rowOff>
    </xdr:to>
    <xdr:cxnSp macro="">
      <xdr:nvCxnSpPr>
        <xdr:cNvPr id="60" name="Conector recto de flecha 59"/>
        <xdr:cNvCxnSpPr/>
      </xdr:nvCxnSpPr>
      <xdr:spPr>
        <a:xfrm flipH="1">
          <a:off x="7620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27</xdr:row>
      <xdr:rowOff>3</xdr:rowOff>
    </xdr:from>
    <xdr:to>
      <xdr:col>11</xdr:col>
      <xdr:colOff>4</xdr:colOff>
      <xdr:row>31</xdr:row>
      <xdr:rowOff>0</xdr:rowOff>
    </xdr:to>
    <xdr:cxnSp macro="">
      <xdr:nvCxnSpPr>
        <xdr:cNvPr id="61" name="Conector recto de flecha 60"/>
        <xdr:cNvCxnSpPr/>
      </xdr:nvCxnSpPr>
      <xdr:spPr>
        <a:xfrm flipH="1">
          <a:off x="8382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31</xdr:row>
      <xdr:rowOff>180975</xdr:rowOff>
    </xdr:from>
    <xdr:to>
      <xdr:col>11</xdr:col>
      <xdr:colOff>0</xdr:colOff>
      <xdr:row>32</xdr:row>
      <xdr:rowOff>0</xdr:rowOff>
    </xdr:to>
    <xdr:cxnSp macro="">
      <xdr:nvCxnSpPr>
        <xdr:cNvPr id="66" name="Conector recto 65"/>
        <xdr:cNvCxnSpPr/>
      </xdr:nvCxnSpPr>
      <xdr:spPr>
        <a:xfrm flipV="1">
          <a:off x="5324475" y="6305550"/>
          <a:ext cx="3057525" cy="9525"/>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31</xdr:row>
      <xdr:rowOff>76200</xdr:rowOff>
    </xdr:from>
    <xdr:to>
      <xdr:col>7</xdr:col>
      <xdr:colOff>0</xdr:colOff>
      <xdr:row>32</xdr:row>
      <xdr:rowOff>133350</xdr:rowOff>
    </xdr:to>
    <xdr:cxnSp macro="">
      <xdr:nvCxnSpPr>
        <xdr:cNvPr id="68" name="Conector recto 67"/>
        <xdr:cNvCxnSpPr/>
      </xdr:nvCxnSpPr>
      <xdr:spPr>
        <a:xfrm>
          <a:off x="5324475"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752475</xdr:colOff>
      <xdr:row>31</xdr:row>
      <xdr:rowOff>57150</xdr:rowOff>
    </xdr:from>
    <xdr:to>
      <xdr:col>11</xdr:col>
      <xdr:colOff>0</xdr:colOff>
      <xdr:row>32</xdr:row>
      <xdr:rowOff>114300</xdr:rowOff>
    </xdr:to>
    <xdr:cxnSp macro="">
      <xdr:nvCxnSpPr>
        <xdr:cNvPr id="69" name="Conector recto 68"/>
        <xdr:cNvCxnSpPr/>
      </xdr:nvCxnSpPr>
      <xdr:spPr>
        <a:xfrm>
          <a:off x="8372475" y="6181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523875</xdr:colOff>
      <xdr:row>16</xdr:row>
      <xdr:rowOff>161925</xdr:rowOff>
    </xdr:from>
    <xdr:ext cx="506229" cy="264560"/>
    <xdr:sp macro="" textlink="">
      <xdr:nvSpPr>
        <xdr:cNvPr id="70" name="CuadroTexto 69"/>
        <xdr:cNvSpPr txBox="1"/>
      </xdr:nvSpPr>
      <xdr:spPr>
        <a:xfrm>
          <a:off x="523875" y="43624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a:t>
          </a:r>
        </a:p>
      </xdr:txBody>
    </xdr:sp>
    <xdr:clientData/>
  </xdr:oneCellAnchor>
  <xdr:oneCellAnchor>
    <xdr:from>
      <xdr:col>4</xdr:col>
      <xdr:colOff>571500</xdr:colOff>
      <xdr:row>29</xdr:row>
      <xdr:rowOff>38100</xdr:rowOff>
    </xdr:from>
    <xdr:ext cx="459036" cy="264560"/>
    <xdr:sp macro="" textlink="">
      <xdr:nvSpPr>
        <xdr:cNvPr id="71" name="CuadroTexto 70"/>
        <xdr:cNvSpPr txBox="1"/>
      </xdr:nvSpPr>
      <xdr:spPr>
        <a:xfrm>
          <a:off x="3619500" y="69056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x+15</a:t>
          </a:r>
          <a:endParaRPr lang="en-US">
            <a:effectLst/>
          </a:endParaRPr>
        </a:p>
      </xdr:txBody>
    </xdr:sp>
    <xdr:clientData/>
  </xdr:oneCellAnchor>
  <xdr:oneCellAnchor>
    <xdr:from>
      <xdr:col>5</xdr:col>
      <xdr:colOff>571500</xdr:colOff>
      <xdr:row>29</xdr:row>
      <xdr:rowOff>152400</xdr:rowOff>
    </xdr:from>
    <xdr:ext cx="459036" cy="436786"/>
    <xdr:sp macro="" textlink="">
      <xdr:nvSpPr>
        <xdr:cNvPr id="72" name="CuadroTexto 71"/>
        <xdr:cNvSpPr txBox="1"/>
      </xdr:nvSpPr>
      <xdr:spPr>
        <a:xfrm>
          <a:off x="4381500" y="7019925"/>
          <a:ext cx="45903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x+20</a:t>
          </a:r>
          <a:endParaRPr lang="en-US">
            <a:effectLst/>
          </a:endParaRPr>
        </a:p>
        <a:p>
          <a:endParaRPr lang="en-US" sz="1100"/>
        </a:p>
      </xdr:txBody>
    </xdr:sp>
    <xdr:clientData/>
  </xdr:oneCellAnchor>
  <xdr:oneCellAnchor>
    <xdr:from>
      <xdr:col>1</xdr:col>
      <xdr:colOff>647700</xdr:colOff>
      <xdr:row>28</xdr:row>
      <xdr:rowOff>9525</xdr:rowOff>
    </xdr:from>
    <xdr:ext cx="283873" cy="264560"/>
    <xdr:sp macro="" textlink="">
      <xdr:nvSpPr>
        <xdr:cNvPr id="73" name="CuadroTexto 72"/>
        <xdr:cNvSpPr txBox="1"/>
      </xdr:nvSpPr>
      <xdr:spPr>
        <a:xfrm>
          <a:off x="1409700" y="6686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x</a:t>
          </a:r>
        </a:p>
      </xdr:txBody>
    </xdr:sp>
    <xdr:clientData/>
  </xdr:oneCellAnchor>
  <xdr:oneCellAnchor>
    <xdr:from>
      <xdr:col>2</xdr:col>
      <xdr:colOff>590550</xdr:colOff>
      <xdr:row>28</xdr:row>
      <xdr:rowOff>95250</xdr:rowOff>
    </xdr:from>
    <xdr:ext cx="387542" cy="264560"/>
    <xdr:sp macro="" textlink="">
      <xdr:nvSpPr>
        <xdr:cNvPr id="74" name="CuadroTexto 73"/>
        <xdr:cNvSpPr txBox="1"/>
      </xdr:nvSpPr>
      <xdr:spPr>
        <a:xfrm>
          <a:off x="2114550" y="6772275"/>
          <a:ext cx="387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x+5</a:t>
          </a:r>
        </a:p>
      </xdr:txBody>
    </xdr:sp>
    <xdr:clientData/>
  </xdr:oneCellAnchor>
  <xdr:oneCellAnchor>
    <xdr:from>
      <xdr:col>3</xdr:col>
      <xdr:colOff>552450</xdr:colOff>
      <xdr:row>28</xdr:row>
      <xdr:rowOff>152400</xdr:rowOff>
    </xdr:from>
    <xdr:ext cx="459036" cy="264560"/>
    <xdr:sp macro="" textlink="">
      <xdr:nvSpPr>
        <xdr:cNvPr id="75" name="CuadroTexto 74"/>
        <xdr:cNvSpPr txBox="1"/>
      </xdr:nvSpPr>
      <xdr:spPr>
        <a:xfrm>
          <a:off x="2838450" y="68294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x+10</a:t>
          </a:r>
          <a:endParaRPr lang="en-US">
            <a:effectLst/>
          </a:endParaRPr>
        </a:p>
      </xdr:txBody>
    </xdr:sp>
    <xdr:clientData/>
  </xdr:oneCellAnchor>
  <xdr:oneCellAnchor>
    <xdr:from>
      <xdr:col>9</xdr:col>
      <xdr:colOff>504825</xdr:colOff>
      <xdr:row>31</xdr:row>
      <xdr:rowOff>152400</xdr:rowOff>
    </xdr:from>
    <xdr:ext cx="399148" cy="264560"/>
    <xdr:sp macro="" textlink="">
      <xdr:nvSpPr>
        <xdr:cNvPr id="76" name="CuadroTexto 75"/>
        <xdr:cNvSpPr txBox="1"/>
      </xdr:nvSpPr>
      <xdr:spPr>
        <a:xfrm>
          <a:off x="7362825" y="74009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6</xdr:col>
      <xdr:colOff>523875</xdr:colOff>
      <xdr:row>22</xdr:row>
      <xdr:rowOff>28575</xdr:rowOff>
    </xdr:from>
    <xdr:ext cx="565283" cy="264560"/>
    <xdr:sp macro="" textlink="">
      <xdr:nvSpPr>
        <xdr:cNvPr id="77" name="CuadroTexto 76"/>
        <xdr:cNvSpPr txBox="1"/>
      </xdr:nvSpPr>
      <xdr:spPr>
        <a:xfrm>
          <a:off x="5095875" y="55626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1</xdr:col>
      <xdr:colOff>504825</xdr:colOff>
      <xdr:row>30</xdr:row>
      <xdr:rowOff>180975</xdr:rowOff>
    </xdr:from>
    <xdr:ext cx="744306" cy="264560"/>
    <xdr:sp macro="" textlink="">
      <xdr:nvSpPr>
        <xdr:cNvPr id="78" name="CuadroTexto 77"/>
        <xdr:cNvSpPr txBox="1"/>
      </xdr:nvSpPr>
      <xdr:spPr>
        <a:xfrm>
          <a:off x="1266825" y="7239000"/>
          <a:ext cx="744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x= </a:t>
          </a:r>
          <a:r>
            <a:rPr lang="en-US" sz="1100" b="0"/>
            <a:t>105,11</a:t>
          </a:r>
          <a:endParaRPr lang="en-US" sz="1100" b="1"/>
        </a:p>
      </xdr:txBody>
    </xdr:sp>
    <xdr:clientData/>
  </xdr:oneCellAnchor>
  <xdr:oneCellAnchor>
    <xdr:from>
      <xdr:col>0</xdr:col>
      <xdr:colOff>628650</xdr:colOff>
      <xdr:row>26</xdr:row>
      <xdr:rowOff>104775</xdr:rowOff>
    </xdr:from>
    <xdr:ext cx="283873" cy="264560"/>
    <xdr:sp macro="" textlink="">
      <xdr:nvSpPr>
        <xdr:cNvPr id="41" name="CuadroTexto 4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2</xdr:col>
      <xdr:colOff>647700</xdr:colOff>
      <xdr:row>23</xdr:row>
      <xdr:rowOff>161925</xdr:rowOff>
    </xdr:from>
    <xdr:ext cx="283873" cy="264560"/>
    <xdr:sp macro="" textlink="">
      <xdr:nvSpPr>
        <xdr:cNvPr id="42" name="CuadroTexto 4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3</xdr:col>
      <xdr:colOff>638175</xdr:colOff>
      <xdr:row>23</xdr:row>
      <xdr:rowOff>171450</xdr:rowOff>
    </xdr:from>
    <xdr:ext cx="283873" cy="264560"/>
    <xdr:sp macro="" textlink="">
      <xdr:nvSpPr>
        <xdr:cNvPr id="43" name="CuadroTexto 4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1</xdr:col>
      <xdr:colOff>638175</xdr:colOff>
      <xdr:row>23</xdr:row>
      <xdr:rowOff>171450</xdr:rowOff>
    </xdr:from>
    <xdr:ext cx="283873" cy="264560"/>
    <xdr:sp macro="" textlink="">
      <xdr:nvSpPr>
        <xdr:cNvPr id="44" name="CuadroTexto 4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8</xdr:col>
      <xdr:colOff>657225</xdr:colOff>
      <xdr:row>23</xdr:row>
      <xdr:rowOff>180975</xdr:rowOff>
    </xdr:from>
    <xdr:ext cx="283873" cy="264560"/>
    <xdr:sp macro="" textlink="">
      <xdr:nvSpPr>
        <xdr:cNvPr id="45" name="CuadroTexto 44"/>
        <xdr:cNvSpPr txBox="1"/>
      </xdr:nvSpPr>
      <xdr:spPr>
        <a:xfrm>
          <a:off x="675322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9</xdr:col>
      <xdr:colOff>647700</xdr:colOff>
      <xdr:row>23</xdr:row>
      <xdr:rowOff>180975</xdr:rowOff>
    </xdr:from>
    <xdr:ext cx="283873" cy="264560"/>
    <xdr:sp macro="" textlink="">
      <xdr:nvSpPr>
        <xdr:cNvPr id="46" name="CuadroTexto 45"/>
        <xdr:cNvSpPr txBox="1"/>
      </xdr:nvSpPr>
      <xdr:spPr>
        <a:xfrm>
          <a:off x="7505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10</xdr:col>
      <xdr:colOff>600075</xdr:colOff>
      <xdr:row>23</xdr:row>
      <xdr:rowOff>161925</xdr:rowOff>
    </xdr:from>
    <xdr:ext cx="381000" cy="264560"/>
    <xdr:sp macro="" textlink="">
      <xdr:nvSpPr>
        <xdr:cNvPr id="47" name="CuadroTexto 46"/>
        <xdr:cNvSpPr txBox="1"/>
      </xdr:nvSpPr>
      <xdr:spPr>
        <a:xfrm>
          <a:off x="8220075"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5</xdr:col>
      <xdr:colOff>647700</xdr:colOff>
      <xdr:row>23</xdr:row>
      <xdr:rowOff>180975</xdr:rowOff>
    </xdr:from>
    <xdr:ext cx="283873" cy="264560"/>
    <xdr:sp macro="" textlink="">
      <xdr:nvSpPr>
        <xdr:cNvPr id="50" name="CuadroTexto 4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6</xdr:col>
      <xdr:colOff>638175</xdr:colOff>
      <xdr:row>23</xdr:row>
      <xdr:rowOff>171450</xdr:rowOff>
    </xdr:from>
    <xdr:ext cx="283873" cy="264560"/>
    <xdr:sp macro="" textlink="">
      <xdr:nvSpPr>
        <xdr:cNvPr id="51" name="CuadroTexto 5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4</xdr:col>
      <xdr:colOff>638175</xdr:colOff>
      <xdr:row>23</xdr:row>
      <xdr:rowOff>180975</xdr:rowOff>
    </xdr:from>
    <xdr:ext cx="283873" cy="264560"/>
    <xdr:sp macro="" textlink="">
      <xdr:nvSpPr>
        <xdr:cNvPr id="52" name="CuadroTexto 5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7</xdr:col>
      <xdr:colOff>638175</xdr:colOff>
      <xdr:row>23</xdr:row>
      <xdr:rowOff>171450</xdr:rowOff>
    </xdr:from>
    <xdr:ext cx="283873" cy="264560"/>
    <xdr:sp macro="" textlink="">
      <xdr:nvSpPr>
        <xdr:cNvPr id="53" name="CuadroTexto 5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762000</xdr:colOff>
      <xdr:row>35</xdr:row>
      <xdr:rowOff>0</xdr:rowOff>
    </xdr:from>
    <xdr:to>
      <xdr:col>16</xdr:col>
      <xdr:colOff>9525</xdr:colOff>
      <xdr:row>35</xdr:row>
      <xdr:rowOff>0</xdr:rowOff>
    </xdr:to>
    <xdr:cxnSp macro="">
      <xdr:nvCxnSpPr>
        <xdr:cNvPr id="2" name="Conector recto 1"/>
        <xdr:cNvCxnSpPr/>
      </xdr:nvCxnSpPr>
      <xdr:spPr>
        <a:xfrm>
          <a:off x="1524000" y="6715125"/>
          <a:ext cx="1085850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34</xdr:row>
      <xdr:rowOff>19050</xdr:rowOff>
    </xdr:from>
    <xdr:to>
      <xdr:col>2</xdr:col>
      <xdr:colOff>0</xdr:colOff>
      <xdr:row>36</xdr:row>
      <xdr:rowOff>19050</xdr:rowOff>
    </xdr:to>
    <xdr:cxnSp macro="">
      <xdr:nvCxnSpPr>
        <xdr:cNvPr id="3" name="Conector recto 2"/>
        <xdr:cNvCxnSpPr/>
      </xdr:nvCxnSpPr>
      <xdr:spPr>
        <a:xfrm>
          <a:off x="1704975" y="65436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34</xdr:row>
      <xdr:rowOff>0</xdr:rowOff>
    </xdr:from>
    <xdr:to>
      <xdr:col>3</xdr:col>
      <xdr:colOff>0</xdr:colOff>
      <xdr:row>36</xdr:row>
      <xdr:rowOff>0</xdr:rowOff>
    </xdr:to>
    <xdr:cxnSp macro="">
      <xdr:nvCxnSpPr>
        <xdr:cNvPr id="4" name="Conector recto 3"/>
        <xdr:cNvCxnSpPr/>
      </xdr:nvCxnSpPr>
      <xdr:spPr>
        <a:xfrm>
          <a:off x="1524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34</xdr:row>
      <xdr:rowOff>9525</xdr:rowOff>
    </xdr:from>
    <xdr:to>
      <xdr:col>4</xdr:col>
      <xdr:colOff>9525</xdr:colOff>
      <xdr:row>36</xdr:row>
      <xdr:rowOff>9525</xdr:rowOff>
    </xdr:to>
    <xdr:cxnSp macro="">
      <xdr:nvCxnSpPr>
        <xdr:cNvPr id="5" name="Conector recto 4"/>
        <xdr:cNvCxnSpPr/>
      </xdr:nvCxnSpPr>
      <xdr:spPr>
        <a:xfrm>
          <a:off x="2295525" y="4991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34</xdr:row>
      <xdr:rowOff>0</xdr:rowOff>
    </xdr:from>
    <xdr:to>
      <xdr:col>5</xdr:col>
      <xdr:colOff>0</xdr:colOff>
      <xdr:row>36</xdr:row>
      <xdr:rowOff>0</xdr:rowOff>
    </xdr:to>
    <xdr:cxnSp macro="">
      <xdr:nvCxnSpPr>
        <xdr:cNvPr id="6" name="Conector recto 5"/>
        <xdr:cNvCxnSpPr/>
      </xdr:nvCxnSpPr>
      <xdr:spPr>
        <a:xfrm>
          <a:off x="3048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34</xdr:row>
      <xdr:rowOff>0</xdr:rowOff>
    </xdr:from>
    <xdr:to>
      <xdr:col>6</xdr:col>
      <xdr:colOff>0</xdr:colOff>
      <xdr:row>36</xdr:row>
      <xdr:rowOff>0</xdr:rowOff>
    </xdr:to>
    <xdr:cxnSp macro="">
      <xdr:nvCxnSpPr>
        <xdr:cNvPr id="7" name="Conector recto 6"/>
        <xdr:cNvCxnSpPr/>
      </xdr:nvCxnSpPr>
      <xdr:spPr>
        <a:xfrm>
          <a:off x="3810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34</xdr:row>
      <xdr:rowOff>0</xdr:rowOff>
    </xdr:from>
    <xdr:to>
      <xdr:col>7</xdr:col>
      <xdr:colOff>0</xdr:colOff>
      <xdr:row>36</xdr:row>
      <xdr:rowOff>0</xdr:rowOff>
    </xdr:to>
    <xdr:cxnSp macro="">
      <xdr:nvCxnSpPr>
        <xdr:cNvPr id="8" name="Conector recto 7"/>
        <xdr:cNvCxnSpPr/>
      </xdr:nvCxnSpPr>
      <xdr:spPr>
        <a:xfrm>
          <a:off x="4572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34</xdr:row>
      <xdr:rowOff>9525</xdr:rowOff>
    </xdr:from>
    <xdr:to>
      <xdr:col>8</xdr:col>
      <xdr:colOff>0</xdr:colOff>
      <xdr:row>36</xdr:row>
      <xdr:rowOff>9525</xdr:rowOff>
    </xdr:to>
    <xdr:cxnSp macro="">
      <xdr:nvCxnSpPr>
        <xdr:cNvPr id="9" name="Conector recto 8"/>
        <xdr:cNvCxnSpPr/>
      </xdr:nvCxnSpPr>
      <xdr:spPr>
        <a:xfrm>
          <a:off x="5334000" y="4991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34</xdr:row>
      <xdr:rowOff>0</xdr:rowOff>
    </xdr:from>
    <xdr:to>
      <xdr:col>9</xdr:col>
      <xdr:colOff>0</xdr:colOff>
      <xdr:row>36</xdr:row>
      <xdr:rowOff>0</xdr:rowOff>
    </xdr:to>
    <xdr:cxnSp macro="">
      <xdr:nvCxnSpPr>
        <xdr:cNvPr id="10" name="Conector recto 9"/>
        <xdr:cNvCxnSpPr/>
      </xdr:nvCxnSpPr>
      <xdr:spPr>
        <a:xfrm>
          <a:off x="6096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34</xdr:row>
      <xdr:rowOff>0</xdr:rowOff>
    </xdr:from>
    <xdr:to>
      <xdr:col>10</xdr:col>
      <xdr:colOff>9525</xdr:colOff>
      <xdr:row>36</xdr:row>
      <xdr:rowOff>0</xdr:rowOff>
    </xdr:to>
    <xdr:cxnSp macro="">
      <xdr:nvCxnSpPr>
        <xdr:cNvPr id="11" name="Conector recto 10"/>
        <xdr:cNvCxnSpPr/>
      </xdr:nvCxnSpPr>
      <xdr:spPr>
        <a:xfrm>
          <a:off x="6867525"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34</xdr:row>
      <xdr:rowOff>0</xdr:rowOff>
    </xdr:from>
    <xdr:to>
      <xdr:col>11</xdr:col>
      <xdr:colOff>0</xdr:colOff>
      <xdr:row>36</xdr:row>
      <xdr:rowOff>0</xdr:rowOff>
    </xdr:to>
    <xdr:cxnSp macro="">
      <xdr:nvCxnSpPr>
        <xdr:cNvPr id="12" name="Conector recto 11"/>
        <xdr:cNvCxnSpPr/>
      </xdr:nvCxnSpPr>
      <xdr:spPr>
        <a:xfrm>
          <a:off x="7620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34</xdr:row>
      <xdr:rowOff>0</xdr:rowOff>
    </xdr:from>
    <xdr:to>
      <xdr:col>12</xdr:col>
      <xdr:colOff>0</xdr:colOff>
      <xdr:row>36</xdr:row>
      <xdr:rowOff>0</xdr:rowOff>
    </xdr:to>
    <xdr:cxnSp macro="">
      <xdr:nvCxnSpPr>
        <xdr:cNvPr id="13" name="Conector recto 12"/>
        <xdr:cNvCxnSpPr/>
      </xdr:nvCxnSpPr>
      <xdr:spPr>
        <a:xfrm>
          <a:off x="8382000" y="49815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33</xdr:row>
      <xdr:rowOff>180975</xdr:rowOff>
    </xdr:from>
    <xdr:to>
      <xdr:col>13</xdr:col>
      <xdr:colOff>9525</xdr:colOff>
      <xdr:row>35</xdr:row>
      <xdr:rowOff>180975</xdr:rowOff>
    </xdr:to>
    <xdr:cxnSp macro="">
      <xdr:nvCxnSpPr>
        <xdr:cNvPr id="14" name="Conector recto 13"/>
        <xdr:cNvCxnSpPr/>
      </xdr:nvCxnSpPr>
      <xdr:spPr>
        <a:xfrm>
          <a:off x="9153525" y="4972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9525</xdr:colOff>
      <xdr:row>33</xdr:row>
      <xdr:rowOff>180975</xdr:rowOff>
    </xdr:from>
    <xdr:to>
      <xdr:col>14</xdr:col>
      <xdr:colOff>9525</xdr:colOff>
      <xdr:row>35</xdr:row>
      <xdr:rowOff>180975</xdr:rowOff>
    </xdr:to>
    <xdr:cxnSp macro="">
      <xdr:nvCxnSpPr>
        <xdr:cNvPr id="15" name="Conector recto 14"/>
        <xdr:cNvCxnSpPr/>
      </xdr:nvCxnSpPr>
      <xdr:spPr>
        <a:xfrm>
          <a:off x="9915525" y="4972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74060</xdr:rowOff>
    </xdr:from>
    <xdr:to>
      <xdr:col>2</xdr:col>
      <xdr:colOff>24515</xdr:colOff>
      <xdr:row>34</xdr:row>
      <xdr:rowOff>19051</xdr:rowOff>
    </xdr:to>
    <xdr:cxnSp macro="">
      <xdr:nvCxnSpPr>
        <xdr:cNvPr id="16" name="Conector recto de flecha 15"/>
        <xdr:cNvCxnSpPr/>
      </xdr:nvCxnSpPr>
      <xdr:spPr>
        <a:xfrm flipV="1">
          <a:off x="1704975" y="5265185"/>
          <a:ext cx="24515" cy="1278491"/>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36</xdr:row>
      <xdr:rowOff>9525</xdr:rowOff>
    </xdr:from>
    <xdr:to>
      <xdr:col>4</xdr:col>
      <xdr:colOff>9528</xdr:colOff>
      <xdr:row>39</xdr:row>
      <xdr:rowOff>57150</xdr:rowOff>
    </xdr:to>
    <xdr:cxnSp macro="">
      <xdr:nvCxnSpPr>
        <xdr:cNvPr id="17" name="Conector recto de flecha 16"/>
        <xdr:cNvCxnSpPr/>
      </xdr:nvCxnSpPr>
      <xdr:spPr>
        <a:xfrm flipH="1">
          <a:off x="3228975"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847725</xdr:colOff>
      <xdr:row>26</xdr:row>
      <xdr:rowOff>66675</xdr:rowOff>
    </xdr:from>
    <xdr:ext cx="245773" cy="264560"/>
    <xdr:sp macro="" textlink="">
      <xdr:nvSpPr>
        <xdr:cNvPr id="32" name="CuadroTexto 31"/>
        <xdr:cNvSpPr txBox="1"/>
      </xdr:nvSpPr>
      <xdr:spPr>
        <a:xfrm>
          <a:off x="1609725" y="5067300"/>
          <a:ext cx="2457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a:t>
          </a:r>
        </a:p>
      </xdr:txBody>
    </xdr:sp>
    <xdr:clientData/>
  </xdr:oneCellAnchor>
  <xdr:oneCellAnchor>
    <xdr:from>
      <xdr:col>3</xdr:col>
      <xdr:colOff>609600</xdr:colOff>
      <xdr:row>39</xdr:row>
      <xdr:rowOff>0</xdr:rowOff>
    </xdr:from>
    <xdr:ext cx="381000" cy="264560"/>
    <xdr:sp macro="" textlink="">
      <xdr:nvSpPr>
        <xdr:cNvPr id="35" name="CuadroTexto 34"/>
        <xdr:cNvSpPr txBox="1"/>
      </xdr:nvSpPr>
      <xdr:spPr>
        <a:xfrm>
          <a:off x="3076575"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8</xdr:col>
      <xdr:colOff>552450</xdr:colOff>
      <xdr:row>31</xdr:row>
      <xdr:rowOff>133350</xdr:rowOff>
    </xdr:from>
    <xdr:ext cx="493790" cy="264560"/>
    <xdr:sp macro="" textlink="">
      <xdr:nvSpPr>
        <xdr:cNvPr id="39" name="CuadroTexto 38"/>
        <xdr:cNvSpPr txBox="1"/>
      </xdr:nvSpPr>
      <xdr:spPr>
        <a:xfrm>
          <a:off x="6829425" y="6086475"/>
          <a:ext cx="4937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2%</a:t>
          </a:r>
          <a:endParaRPr lang="en-US" sz="1100" b="1"/>
        </a:p>
      </xdr:txBody>
    </xdr:sp>
    <xdr:clientData/>
  </xdr:oneCellAnchor>
  <xdr:oneCellAnchor>
    <xdr:from>
      <xdr:col>1</xdr:col>
      <xdr:colOff>828675</xdr:colOff>
      <xdr:row>35</xdr:row>
      <xdr:rowOff>152400</xdr:rowOff>
    </xdr:from>
    <xdr:ext cx="283873" cy="264560"/>
    <xdr:sp macro="" textlink="">
      <xdr:nvSpPr>
        <xdr:cNvPr id="41" name="CuadroTexto 40"/>
        <xdr:cNvSpPr txBox="1"/>
      </xdr:nvSpPr>
      <xdr:spPr>
        <a:xfrm>
          <a:off x="1590675" y="68675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32</xdr:row>
      <xdr:rowOff>161925</xdr:rowOff>
    </xdr:from>
    <xdr:ext cx="283873" cy="264560"/>
    <xdr:sp macro="" textlink="">
      <xdr:nvSpPr>
        <xdr:cNvPr id="42" name="CuadroTexto 41"/>
        <xdr:cNvSpPr txBox="1"/>
      </xdr:nvSpPr>
      <xdr:spPr>
        <a:xfrm>
          <a:off x="2171700" y="4762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32</xdr:row>
      <xdr:rowOff>171450</xdr:rowOff>
    </xdr:from>
    <xdr:ext cx="283873" cy="264560"/>
    <xdr:sp macro="" textlink="">
      <xdr:nvSpPr>
        <xdr:cNvPr id="43" name="CuadroTexto 42"/>
        <xdr:cNvSpPr txBox="1"/>
      </xdr:nvSpPr>
      <xdr:spPr>
        <a:xfrm>
          <a:off x="2924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32</xdr:row>
      <xdr:rowOff>171450</xdr:rowOff>
    </xdr:from>
    <xdr:ext cx="283873" cy="264560"/>
    <xdr:sp macro="" textlink="">
      <xdr:nvSpPr>
        <xdr:cNvPr id="44" name="CuadroTexto 43"/>
        <xdr:cNvSpPr txBox="1"/>
      </xdr:nvSpPr>
      <xdr:spPr>
        <a:xfrm>
          <a:off x="1400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9</xdr:col>
      <xdr:colOff>657225</xdr:colOff>
      <xdr:row>32</xdr:row>
      <xdr:rowOff>180975</xdr:rowOff>
    </xdr:from>
    <xdr:ext cx="283873" cy="264560"/>
    <xdr:sp macro="" textlink="">
      <xdr:nvSpPr>
        <xdr:cNvPr id="45" name="CuadroTexto 44"/>
        <xdr:cNvSpPr txBox="1"/>
      </xdr:nvSpPr>
      <xdr:spPr>
        <a:xfrm>
          <a:off x="6753225"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10</xdr:col>
      <xdr:colOff>647700</xdr:colOff>
      <xdr:row>32</xdr:row>
      <xdr:rowOff>180975</xdr:rowOff>
    </xdr:from>
    <xdr:ext cx="283873" cy="264560"/>
    <xdr:sp macro="" textlink="">
      <xdr:nvSpPr>
        <xdr:cNvPr id="46" name="CuadroTexto 45"/>
        <xdr:cNvSpPr txBox="1"/>
      </xdr:nvSpPr>
      <xdr:spPr>
        <a:xfrm>
          <a:off x="7505700"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11</xdr:col>
      <xdr:colOff>600075</xdr:colOff>
      <xdr:row>32</xdr:row>
      <xdr:rowOff>161925</xdr:rowOff>
    </xdr:from>
    <xdr:ext cx="381000" cy="264560"/>
    <xdr:sp macro="" textlink="">
      <xdr:nvSpPr>
        <xdr:cNvPr id="47" name="CuadroTexto 46"/>
        <xdr:cNvSpPr txBox="1"/>
      </xdr:nvSpPr>
      <xdr:spPr>
        <a:xfrm>
          <a:off x="8220075" y="47625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12</xdr:col>
      <xdr:colOff>609600</xdr:colOff>
      <xdr:row>32</xdr:row>
      <xdr:rowOff>152400</xdr:rowOff>
    </xdr:from>
    <xdr:ext cx="342900" cy="264560"/>
    <xdr:sp macro="" textlink="">
      <xdr:nvSpPr>
        <xdr:cNvPr id="48" name="CuadroTexto 47"/>
        <xdr:cNvSpPr txBox="1"/>
      </xdr:nvSpPr>
      <xdr:spPr>
        <a:xfrm>
          <a:off x="8991600" y="475297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13</xdr:col>
      <xdr:colOff>609600</xdr:colOff>
      <xdr:row>32</xdr:row>
      <xdr:rowOff>161925</xdr:rowOff>
    </xdr:from>
    <xdr:ext cx="381000" cy="264560"/>
    <xdr:sp macro="" textlink="">
      <xdr:nvSpPr>
        <xdr:cNvPr id="49" name="CuadroTexto 48"/>
        <xdr:cNvSpPr txBox="1"/>
      </xdr:nvSpPr>
      <xdr:spPr>
        <a:xfrm>
          <a:off x="9753600" y="47625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6</xdr:col>
      <xdr:colOff>647700</xdr:colOff>
      <xdr:row>32</xdr:row>
      <xdr:rowOff>180975</xdr:rowOff>
    </xdr:from>
    <xdr:ext cx="283873" cy="264560"/>
    <xdr:sp macro="" textlink="">
      <xdr:nvSpPr>
        <xdr:cNvPr id="50" name="CuadroTexto 49"/>
        <xdr:cNvSpPr txBox="1"/>
      </xdr:nvSpPr>
      <xdr:spPr>
        <a:xfrm>
          <a:off x="4457700"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32</xdr:row>
      <xdr:rowOff>171450</xdr:rowOff>
    </xdr:from>
    <xdr:ext cx="283873" cy="264560"/>
    <xdr:sp macro="" textlink="">
      <xdr:nvSpPr>
        <xdr:cNvPr id="51" name="CuadroTexto 50"/>
        <xdr:cNvSpPr txBox="1"/>
      </xdr:nvSpPr>
      <xdr:spPr>
        <a:xfrm>
          <a:off x="5210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32</xdr:row>
      <xdr:rowOff>180975</xdr:rowOff>
    </xdr:from>
    <xdr:ext cx="283873" cy="264560"/>
    <xdr:sp macro="" textlink="">
      <xdr:nvSpPr>
        <xdr:cNvPr id="52" name="CuadroTexto 51"/>
        <xdr:cNvSpPr txBox="1"/>
      </xdr:nvSpPr>
      <xdr:spPr>
        <a:xfrm>
          <a:off x="3686175" y="4781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32</xdr:row>
      <xdr:rowOff>171450</xdr:rowOff>
    </xdr:from>
    <xdr:ext cx="283873" cy="264560"/>
    <xdr:sp macro="" textlink="">
      <xdr:nvSpPr>
        <xdr:cNvPr id="53" name="CuadroTexto 52"/>
        <xdr:cNvSpPr txBox="1"/>
      </xdr:nvSpPr>
      <xdr:spPr>
        <a:xfrm>
          <a:off x="5972175" y="47720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twoCellAnchor>
    <xdr:from>
      <xdr:col>16</xdr:col>
      <xdr:colOff>0</xdr:colOff>
      <xdr:row>34</xdr:row>
      <xdr:rowOff>0</xdr:rowOff>
    </xdr:from>
    <xdr:to>
      <xdr:col>16</xdr:col>
      <xdr:colOff>0</xdr:colOff>
      <xdr:row>36</xdr:row>
      <xdr:rowOff>0</xdr:rowOff>
    </xdr:to>
    <xdr:cxnSp macro="">
      <xdr:nvCxnSpPr>
        <xdr:cNvPr id="56" name="Conector recto 55"/>
        <xdr:cNvCxnSpPr/>
      </xdr:nvCxnSpPr>
      <xdr:spPr>
        <a:xfrm>
          <a:off x="1237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34</xdr:row>
      <xdr:rowOff>9525</xdr:rowOff>
    </xdr:from>
    <xdr:to>
      <xdr:col>15</xdr:col>
      <xdr:colOff>0</xdr:colOff>
      <xdr:row>36</xdr:row>
      <xdr:rowOff>9525</xdr:rowOff>
    </xdr:to>
    <xdr:cxnSp macro="">
      <xdr:nvCxnSpPr>
        <xdr:cNvPr id="57" name="Conector recto 56"/>
        <xdr:cNvCxnSpPr/>
      </xdr:nvCxnSpPr>
      <xdr:spPr>
        <a:xfrm>
          <a:off x="11610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609600</xdr:colOff>
      <xdr:row>32</xdr:row>
      <xdr:rowOff>171450</xdr:rowOff>
    </xdr:from>
    <xdr:ext cx="381000" cy="264560"/>
    <xdr:sp macro="" textlink="">
      <xdr:nvSpPr>
        <xdr:cNvPr id="59" name="CuadroTexto 58"/>
        <xdr:cNvSpPr txBox="1"/>
      </xdr:nvSpPr>
      <xdr:spPr>
        <a:xfrm>
          <a:off x="12220575"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14</a:t>
          </a:r>
        </a:p>
      </xdr:txBody>
    </xdr:sp>
    <xdr:clientData/>
  </xdr:oneCellAnchor>
  <xdr:oneCellAnchor>
    <xdr:from>
      <xdr:col>14</xdr:col>
      <xdr:colOff>600075</xdr:colOff>
      <xdr:row>32</xdr:row>
      <xdr:rowOff>171450</xdr:rowOff>
    </xdr:from>
    <xdr:ext cx="381000" cy="264560"/>
    <xdr:sp macro="" textlink="">
      <xdr:nvSpPr>
        <xdr:cNvPr id="60" name="CuadroTexto 59"/>
        <xdr:cNvSpPr txBox="1"/>
      </xdr:nvSpPr>
      <xdr:spPr>
        <a:xfrm>
          <a:off x="11449050"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13</a:t>
          </a:r>
        </a:p>
      </xdr:txBody>
    </xdr:sp>
    <xdr:clientData/>
  </xdr:oneCellAnchor>
  <xdr:twoCellAnchor>
    <xdr:from>
      <xdr:col>5</xdr:col>
      <xdr:colOff>742950</xdr:colOff>
      <xdr:row>35</xdr:row>
      <xdr:rowOff>180975</xdr:rowOff>
    </xdr:from>
    <xdr:to>
      <xdr:col>5</xdr:col>
      <xdr:colOff>752478</xdr:colOff>
      <xdr:row>39</xdr:row>
      <xdr:rowOff>38100</xdr:rowOff>
    </xdr:to>
    <xdr:cxnSp macro="">
      <xdr:nvCxnSpPr>
        <xdr:cNvPr id="65" name="Conector recto de flecha 64"/>
        <xdr:cNvCxnSpPr/>
      </xdr:nvCxnSpPr>
      <xdr:spPr>
        <a:xfrm flipH="1">
          <a:off x="4733925"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590550</xdr:colOff>
      <xdr:row>38</xdr:row>
      <xdr:rowOff>171450</xdr:rowOff>
    </xdr:from>
    <xdr:ext cx="381000" cy="264560"/>
    <xdr:sp macro="" textlink="">
      <xdr:nvSpPr>
        <xdr:cNvPr id="66" name="CuadroTexto 65"/>
        <xdr:cNvSpPr txBox="1"/>
      </xdr:nvSpPr>
      <xdr:spPr>
        <a:xfrm>
          <a:off x="4581525"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7</xdr:col>
      <xdr:colOff>752475</xdr:colOff>
      <xdr:row>36</xdr:row>
      <xdr:rowOff>9525</xdr:rowOff>
    </xdr:from>
    <xdr:to>
      <xdr:col>8</xdr:col>
      <xdr:colOff>3</xdr:colOff>
      <xdr:row>39</xdr:row>
      <xdr:rowOff>57150</xdr:rowOff>
    </xdr:to>
    <xdr:cxnSp macro="">
      <xdr:nvCxnSpPr>
        <xdr:cNvPr id="67" name="Conector recto de flecha 66"/>
        <xdr:cNvCxnSpPr/>
      </xdr:nvCxnSpPr>
      <xdr:spPr>
        <a:xfrm flipH="1">
          <a:off x="6267450"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600075</xdr:colOff>
      <xdr:row>39</xdr:row>
      <xdr:rowOff>0</xdr:rowOff>
    </xdr:from>
    <xdr:ext cx="381000" cy="264560"/>
    <xdr:sp macro="" textlink="">
      <xdr:nvSpPr>
        <xdr:cNvPr id="68" name="CuadroTexto 67"/>
        <xdr:cNvSpPr txBox="1"/>
      </xdr:nvSpPr>
      <xdr:spPr>
        <a:xfrm>
          <a:off x="6115050"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10</xdr:col>
      <xdr:colOff>9525</xdr:colOff>
      <xdr:row>35</xdr:row>
      <xdr:rowOff>171450</xdr:rowOff>
    </xdr:from>
    <xdr:to>
      <xdr:col>10</xdr:col>
      <xdr:colOff>19053</xdr:colOff>
      <xdr:row>39</xdr:row>
      <xdr:rowOff>28575</xdr:rowOff>
    </xdr:to>
    <xdr:cxnSp macro="">
      <xdr:nvCxnSpPr>
        <xdr:cNvPr id="69" name="Conector recto de flecha 68"/>
        <xdr:cNvCxnSpPr/>
      </xdr:nvCxnSpPr>
      <xdr:spPr>
        <a:xfrm flipH="1">
          <a:off x="7810500" y="6886575"/>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619125</xdr:colOff>
      <xdr:row>38</xdr:row>
      <xdr:rowOff>161925</xdr:rowOff>
    </xdr:from>
    <xdr:ext cx="381000" cy="264560"/>
    <xdr:sp macro="" textlink="">
      <xdr:nvSpPr>
        <xdr:cNvPr id="70" name="CuadroTexto 69"/>
        <xdr:cNvSpPr txBox="1"/>
      </xdr:nvSpPr>
      <xdr:spPr>
        <a:xfrm>
          <a:off x="7658100" y="7448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11</xdr:col>
      <xdr:colOff>752475</xdr:colOff>
      <xdr:row>35</xdr:row>
      <xdr:rowOff>180975</xdr:rowOff>
    </xdr:from>
    <xdr:to>
      <xdr:col>12</xdr:col>
      <xdr:colOff>3</xdr:colOff>
      <xdr:row>39</xdr:row>
      <xdr:rowOff>38100</xdr:rowOff>
    </xdr:to>
    <xdr:cxnSp macro="">
      <xdr:nvCxnSpPr>
        <xdr:cNvPr id="71" name="Conector recto de flecha 70"/>
        <xdr:cNvCxnSpPr/>
      </xdr:nvCxnSpPr>
      <xdr:spPr>
        <a:xfrm flipH="1">
          <a:off x="9315450"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600075</xdr:colOff>
      <xdr:row>38</xdr:row>
      <xdr:rowOff>171450</xdr:rowOff>
    </xdr:from>
    <xdr:ext cx="381000" cy="264560"/>
    <xdr:sp macro="" textlink="">
      <xdr:nvSpPr>
        <xdr:cNvPr id="72" name="CuadroTexto 71"/>
        <xdr:cNvSpPr txBox="1"/>
      </xdr:nvSpPr>
      <xdr:spPr>
        <a:xfrm>
          <a:off x="9163050"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14</xdr:col>
      <xdr:colOff>0</xdr:colOff>
      <xdr:row>35</xdr:row>
      <xdr:rowOff>180975</xdr:rowOff>
    </xdr:from>
    <xdr:to>
      <xdr:col>14</xdr:col>
      <xdr:colOff>9528</xdr:colOff>
      <xdr:row>39</xdr:row>
      <xdr:rowOff>38100</xdr:rowOff>
    </xdr:to>
    <xdr:cxnSp macro="">
      <xdr:nvCxnSpPr>
        <xdr:cNvPr id="73" name="Conector recto de flecha 72"/>
        <xdr:cNvCxnSpPr/>
      </xdr:nvCxnSpPr>
      <xdr:spPr>
        <a:xfrm flipH="1">
          <a:off x="10848975" y="689610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609600</xdr:colOff>
      <xdr:row>38</xdr:row>
      <xdr:rowOff>171450</xdr:rowOff>
    </xdr:from>
    <xdr:ext cx="381000" cy="264560"/>
    <xdr:sp macro="" textlink="">
      <xdr:nvSpPr>
        <xdr:cNvPr id="74" name="CuadroTexto 73"/>
        <xdr:cNvSpPr txBox="1"/>
      </xdr:nvSpPr>
      <xdr:spPr>
        <a:xfrm>
          <a:off x="10696575" y="7458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twoCellAnchor>
    <xdr:from>
      <xdr:col>15</xdr:col>
      <xdr:colOff>752475</xdr:colOff>
      <xdr:row>36</xdr:row>
      <xdr:rowOff>0</xdr:rowOff>
    </xdr:from>
    <xdr:to>
      <xdr:col>16</xdr:col>
      <xdr:colOff>3</xdr:colOff>
      <xdr:row>39</xdr:row>
      <xdr:rowOff>47625</xdr:rowOff>
    </xdr:to>
    <xdr:cxnSp macro="">
      <xdr:nvCxnSpPr>
        <xdr:cNvPr id="75" name="Conector recto de flecha 74"/>
        <xdr:cNvCxnSpPr/>
      </xdr:nvCxnSpPr>
      <xdr:spPr>
        <a:xfrm flipH="1">
          <a:off x="12363450" y="6905625"/>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600075</xdr:colOff>
      <xdr:row>38</xdr:row>
      <xdr:rowOff>180975</xdr:rowOff>
    </xdr:from>
    <xdr:ext cx="381000" cy="264560"/>
    <xdr:sp macro="" textlink="">
      <xdr:nvSpPr>
        <xdr:cNvPr id="76" name="CuadroTexto 75"/>
        <xdr:cNvSpPr txBox="1"/>
      </xdr:nvSpPr>
      <xdr:spPr>
        <a:xfrm>
          <a:off x="12211050" y="746760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6</xdr:col>
      <xdr:colOff>552450</xdr:colOff>
      <xdr:row>27</xdr:row>
      <xdr:rowOff>85725</xdr:rowOff>
    </xdr:from>
    <xdr:ext cx="4076244" cy="374141"/>
    <xdr:sp macro="" textlink="">
      <xdr:nvSpPr>
        <xdr:cNvPr id="82" name="CuadroTexto 81"/>
        <xdr:cNvSpPr txBox="1"/>
      </xdr:nvSpPr>
      <xdr:spPr>
        <a:xfrm>
          <a:off x="5305425" y="5276850"/>
          <a:ext cx="407624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SIN renegociar el compromiso financiero</a:t>
          </a:r>
        </a:p>
      </xdr:txBody>
    </xdr:sp>
    <xdr:clientData/>
  </xdr:oneCellAnchor>
  <xdr:twoCellAnchor>
    <xdr:from>
      <xdr:col>1</xdr:col>
      <xdr:colOff>762000</xdr:colOff>
      <xdr:row>52</xdr:row>
      <xdr:rowOff>0</xdr:rowOff>
    </xdr:from>
    <xdr:to>
      <xdr:col>16</xdr:col>
      <xdr:colOff>9525</xdr:colOff>
      <xdr:row>52</xdr:row>
      <xdr:rowOff>0</xdr:rowOff>
    </xdr:to>
    <xdr:cxnSp macro="">
      <xdr:nvCxnSpPr>
        <xdr:cNvPr id="83" name="Conector recto 82"/>
        <xdr:cNvCxnSpPr/>
      </xdr:nvCxnSpPr>
      <xdr:spPr>
        <a:xfrm>
          <a:off x="1524000" y="6715125"/>
          <a:ext cx="1085850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51</xdr:row>
      <xdr:rowOff>19050</xdr:rowOff>
    </xdr:from>
    <xdr:to>
      <xdr:col>2</xdr:col>
      <xdr:colOff>0</xdr:colOff>
      <xdr:row>53</xdr:row>
      <xdr:rowOff>19050</xdr:rowOff>
    </xdr:to>
    <xdr:cxnSp macro="">
      <xdr:nvCxnSpPr>
        <xdr:cNvPr id="84" name="Conector recto 83"/>
        <xdr:cNvCxnSpPr/>
      </xdr:nvCxnSpPr>
      <xdr:spPr>
        <a:xfrm>
          <a:off x="1704975" y="654367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51</xdr:row>
      <xdr:rowOff>0</xdr:rowOff>
    </xdr:from>
    <xdr:to>
      <xdr:col>3</xdr:col>
      <xdr:colOff>0</xdr:colOff>
      <xdr:row>53</xdr:row>
      <xdr:rowOff>0</xdr:rowOff>
    </xdr:to>
    <xdr:cxnSp macro="">
      <xdr:nvCxnSpPr>
        <xdr:cNvPr id="85" name="Conector recto 84"/>
        <xdr:cNvCxnSpPr/>
      </xdr:nvCxnSpPr>
      <xdr:spPr>
        <a:xfrm>
          <a:off x="2466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51</xdr:row>
      <xdr:rowOff>9525</xdr:rowOff>
    </xdr:from>
    <xdr:to>
      <xdr:col>4</xdr:col>
      <xdr:colOff>9525</xdr:colOff>
      <xdr:row>53</xdr:row>
      <xdr:rowOff>9525</xdr:rowOff>
    </xdr:to>
    <xdr:cxnSp macro="">
      <xdr:nvCxnSpPr>
        <xdr:cNvPr id="86" name="Conector recto 85"/>
        <xdr:cNvCxnSpPr/>
      </xdr:nvCxnSpPr>
      <xdr:spPr>
        <a:xfrm>
          <a:off x="3238500"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51</xdr:row>
      <xdr:rowOff>0</xdr:rowOff>
    </xdr:from>
    <xdr:to>
      <xdr:col>5</xdr:col>
      <xdr:colOff>0</xdr:colOff>
      <xdr:row>53</xdr:row>
      <xdr:rowOff>0</xdr:rowOff>
    </xdr:to>
    <xdr:cxnSp macro="">
      <xdr:nvCxnSpPr>
        <xdr:cNvPr id="87" name="Conector recto 86"/>
        <xdr:cNvCxnSpPr/>
      </xdr:nvCxnSpPr>
      <xdr:spPr>
        <a:xfrm>
          <a:off x="3990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51</xdr:row>
      <xdr:rowOff>0</xdr:rowOff>
    </xdr:from>
    <xdr:to>
      <xdr:col>6</xdr:col>
      <xdr:colOff>0</xdr:colOff>
      <xdr:row>53</xdr:row>
      <xdr:rowOff>0</xdr:rowOff>
    </xdr:to>
    <xdr:cxnSp macro="">
      <xdr:nvCxnSpPr>
        <xdr:cNvPr id="88" name="Conector recto 87"/>
        <xdr:cNvCxnSpPr/>
      </xdr:nvCxnSpPr>
      <xdr:spPr>
        <a:xfrm>
          <a:off x="475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51</xdr:row>
      <xdr:rowOff>0</xdr:rowOff>
    </xdr:from>
    <xdr:to>
      <xdr:col>7</xdr:col>
      <xdr:colOff>0</xdr:colOff>
      <xdr:row>53</xdr:row>
      <xdr:rowOff>0</xdr:rowOff>
    </xdr:to>
    <xdr:cxnSp macro="">
      <xdr:nvCxnSpPr>
        <xdr:cNvPr id="89" name="Conector recto 88"/>
        <xdr:cNvCxnSpPr/>
      </xdr:nvCxnSpPr>
      <xdr:spPr>
        <a:xfrm>
          <a:off x="5514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51</xdr:row>
      <xdr:rowOff>9525</xdr:rowOff>
    </xdr:from>
    <xdr:to>
      <xdr:col>8</xdr:col>
      <xdr:colOff>0</xdr:colOff>
      <xdr:row>53</xdr:row>
      <xdr:rowOff>9525</xdr:rowOff>
    </xdr:to>
    <xdr:cxnSp macro="">
      <xdr:nvCxnSpPr>
        <xdr:cNvPr id="90" name="Conector recto 89"/>
        <xdr:cNvCxnSpPr/>
      </xdr:nvCxnSpPr>
      <xdr:spPr>
        <a:xfrm>
          <a:off x="6276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51</xdr:row>
      <xdr:rowOff>0</xdr:rowOff>
    </xdr:from>
    <xdr:to>
      <xdr:col>9</xdr:col>
      <xdr:colOff>0</xdr:colOff>
      <xdr:row>53</xdr:row>
      <xdr:rowOff>0</xdr:rowOff>
    </xdr:to>
    <xdr:cxnSp macro="">
      <xdr:nvCxnSpPr>
        <xdr:cNvPr id="91" name="Conector recto 90"/>
        <xdr:cNvCxnSpPr/>
      </xdr:nvCxnSpPr>
      <xdr:spPr>
        <a:xfrm>
          <a:off x="7038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xdr:colOff>
      <xdr:row>51</xdr:row>
      <xdr:rowOff>0</xdr:rowOff>
    </xdr:from>
    <xdr:to>
      <xdr:col>10</xdr:col>
      <xdr:colOff>9525</xdr:colOff>
      <xdr:row>53</xdr:row>
      <xdr:rowOff>0</xdr:rowOff>
    </xdr:to>
    <xdr:cxnSp macro="">
      <xdr:nvCxnSpPr>
        <xdr:cNvPr id="92" name="Conector recto 91"/>
        <xdr:cNvCxnSpPr/>
      </xdr:nvCxnSpPr>
      <xdr:spPr>
        <a:xfrm>
          <a:off x="7810500"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51</xdr:row>
      <xdr:rowOff>0</xdr:rowOff>
    </xdr:from>
    <xdr:to>
      <xdr:col>11</xdr:col>
      <xdr:colOff>0</xdr:colOff>
      <xdr:row>53</xdr:row>
      <xdr:rowOff>0</xdr:rowOff>
    </xdr:to>
    <xdr:cxnSp macro="">
      <xdr:nvCxnSpPr>
        <xdr:cNvPr id="93" name="Conector recto 92"/>
        <xdr:cNvCxnSpPr/>
      </xdr:nvCxnSpPr>
      <xdr:spPr>
        <a:xfrm>
          <a:off x="856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51</xdr:row>
      <xdr:rowOff>0</xdr:rowOff>
    </xdr:from>
    <xdr:to>
      <xdr:col>12</xdr:col>
      <xdr:colOff>0</xdr:colOff>
      <xdr:row>53</xdr:row>
      <xdr:rowOff>0</xdr:rowOff>
    </xdr:to>
    <xdr:cxnSp macro="">
      <xdr:nvCxnSpPr>
        <xdr:cNvPr id="94" name="Conector recto 93"/>
        <xdr:cNvCxnSpPr/>
      </xdr:nvCxnSpPr>
      <xdr:spPr>
        <a:xfrm>
          <a:off x="9324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50</xdr:row>
      <xdr:rowOff>180975</xdr:rowOff>
    </xdr:from>
    <xdr:to>
      <xdr:col>13</xdr:col>
      <xdr:colOff>9525</xdr:colOff>
      <xdr:row>52</xdr:row>
      <xdr:rowOff>180975</xdr:rowOff>
    </xdr:to>
    <xdr:cxnSp macro="">
      <xdr:nvCxnSpPr>
        <xdr:cNvPr id="95" name="Conector recto 94"/>
        <xdr:cNvCxnSpPr/>
      </xdr:nvCxnSpPr>
      <xdr:spPr>
        <a:xfrm>
          <a:off x="10096500" y="6515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9525</xdr:colOff>
      <xdr:row>50</xdr:row>
      <xdr:rowOff>180975</xdr:rowOff>
    </xdr:from>
    <xdr:to>
      <xdr:col>14</xdr:col>
      <xdr:colOff>9525</xdr:colOff>
      <xdr:row>52</xdr:row>
      <xdr:rowOff>180975</xdr:rowOff>
    </xdr:to>
    <xdr:cxnSp macro="">
      <xdr:nvCxnSpPr>
        <xdr:cNvPr id="96" name="Conector recto 95"/>
        <xdr:cNvCxnSpPr/>
      </xdr:nvCxnSpPr>
      <xdr:spPr>
        <a:xfrm>
          <a:off x="10858500" y="65151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44</xdr:row>
      <xdr:rowOff>74060</xdr:rowOff>
    </xdr:from>
    <xdr:to>
      <xdr:col>2</xdr:col>
      <xdr:colOff>24515</xdr:colOff>
      <xdr:row>51</xdr:row>
      <xdr:rowOff>19051</xdr:rowOff>
    </xdr:to>
    <xdr:cxnSp macro="">
      <xdr:nvCxnSpPr>
        <xdr:cNvPr id="97" name="Conector recto de flecha 96"/>
        <xdr:cNvCxnSpPr/>
      </xdr:nvCxnSpPr>
      <xdr:spPr>
        <a:xfrm flipV="1">
          <a:off x="1704975" y="5265185"/>
          <a:ext cx="24515" cy="1278491"/>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53</xdr:row>
      <xdr:rowOff>9525</xdr:rowOff>
    </xdr:from>
    <xdr:to>
      <xdr:col>4</xdr:col>
      <xdr:colOff>9528</xdr:colOff>
      <xdr:row>56</xdr:row>
      <xdr:rowOff>57150</xdr:rowOff>
    </xdr:to>
    <xdr:cxnSp macro="">
      <xdr:nvCxnSpPr>
        <xdr:cNvPr id="98" name="Conector recto de flecha 97"/>
        <xdr:cNvCxnSpPr/>
      </xdr:nvCxnSpPr>
      <xdr:spPr>
        <a:xfrm flipH="1">
          <a:off x="3228975" y="6915150"/>
          <a:ext cx="9528" cy="619125"/>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847725</xdr:colOff>
      <xdr:row>43</xdr:row>
      <xdr:rowOff>66675</xdr:rowOff>
    </xdr:from>
    <xdr:ext cx="245773" cy="264560"/>
    <xdr:sp macro="" textlink="">
      <xdr:nvSpPr>
        <xdr:cNvPr id="99" name="CuadroTexto 98"/>
        <xdr:cNvSpPr txBox="1"/>
      </xdr:nvSpPr>
      <xdr:spPr>
        <a:xfrm>
          <a:off x="1609725" y="5067300"/>
          <a:ext cx="2457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a:t>
          </a:r>
        </a:p>
      </xdr:txBody>
    </xdr:sp>
    <xdr:clientData/>
  </xdr:oneCellAnchor>
  <xdr:oneCellAnchor>
    <xdr:from>
      <xdr:col>3</xdr:col>
      <xdr:colOff>609600</xdr:colOff>
      <xdr:row>56</xdr:row>
      <xdr:rowOff>0</xdr:rowOff>
    </xdr:from>
    <xdr:ext cx="381000" cy="264560"/>
    <xdr:sp macro="" textlink="">
      <xdr:nvSpPr>
        <xdr:cNvPr id="100" name="CuadroTexto 99"/>
        <xdr:cNvSpPr txBox="1"/>
      </xdr:nvSpPr>
      <xdr:spPr>
        <a:xfrm>
          <a:off x="3076575" y="747712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50</a:t>
          </a:r>
        </a:p>
      </xdr:txBody>
    </xdr:sp>
    <xdr:clientData/>
  </xdr:oneCellAnchor>
  <xdr:oneCellAnchor>
    <xdr:from>
      <xdr:col>8</xdr:col>
      <xdr:colOff>552450</xdr:colOff>
      <xdr:row>48</xdr:row>
      <xdr:rowOff>133350</xdr:rowOff>
    </xdr:from>
    <xdr:ext cx="493790" cy="264560"/>
    <xdr:sp macro="" textlink="">
      <xdr:nvSpPr>
        <xdr:cNvPr id="101" name="CuadroTexto 100"/>
        <xdr:cNvSpPr txBox="1"/>
      </xdr:nvSpPr>
      <xdr:spPr>
        <a:xfrm>
          <a:off x="6829425" y="6086475"/>
          <a:ext cx="4937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2%</a:t>
          </a:r>
          <a:endParaRPr lang="en-US" sz="1100" b="1"/>
        </a:p>
      </xdr:txBody>
    </xdr:sp>
    <xdr:clientData/>
  </xdr:oneCellAnchor>
  <xdr:oneCellAnchor>
    <xdr:from>
      <xdr:col>1</xdr:col>
      <xdr:colOff>828675</xdr:colOff>
      <xdr:row>52</xdr:row>
      <xdr:rowOff>152400</xdr:rowOff>
    </xdr:from>
    <xdr:ext cx="283873" cy="264560"/>
    <xdr:sp macro="" textlink="">
      <xdr:nvSpPr>
        <xdr:cNvPr id="102" name="CuadroTexto 101"/>
        <xdr:cNvSpPr txBox="1"/>
      </xdr:nvSpPr>
      <xdr:spPr>
        <a:xfrm>
          <a:off x="1590675" y="68675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49</xdr:row>
      <xdr:rowOff>161925</xdr:rowOff>
    </xdr:from>
    <xdr:ext cx="283873" cy="264560"/>
    <xdr:sp macro="" textlink="">
      <xdr:nvSpPr>
        <xdr:cNvPr id="103" name="CuadroTexto 102"/>
        <xdr:cNvSpPr txBox="1"/>
      </xdr:nvSpPr>
      <xdr:spPr>
        <a:xfrm>
          <a:off x="3114675" y="6305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49</xdr:row>
      <xdr:rowOff>171450</xdr:rowOff>
    </xdr:from>
    <xdr:ext cx="283873" cy="264560"/>
    <xdr:sp macro="" textlink="">
      <xdr:nvSpPr>
        <xdr:cNvPr id="104" name="CuadroTexto 103"/>
        <xdr:cNvSpPr txBox="1"/>
      </xdr:nvSpPr>
      <xdr:spPr>
        <a:xfrm>
          <a:off x="3867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49</xdr:row>
      <xdr:rowOff>171450</xdr:rowOff>
    </xdr:from>
    <xdr:ext cx="283873" cy="264560"/>
    <xdr:sp macro="" textlink="">
      <xdr:nvSpPr>
        <xdr:cNvPr id="105" name="CuadroTexto 104"/>
        <xdr:cNvSpPr txBox="1"/>
      </xdr:nvSpPr>
      <xdr:spPr>
        <a:xfrm>
          <a:off x="2343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9</xdr:col>
      <xdr:colOff>657225</xdr:colOff>
      <xdr:row>49</xdr:row>
      <xdr:rowOff>180975</xdr:rowOff>
    </xdr:from>
    <xdr:ext cx="283873" cy="264560"/>
    <xdr:sp macro="" textlink="">
      <xdr:nvSpPr>
        <xdr:cNvPr id="106" name="CuadroTexto 105"/>
        <xdr:cNvSpPr txBox="1"/>
      </xdr:nvSpPr>
      <xdr:spPr>
        <a:xfrm>
          <a:off x="7696200"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10</xdr:col>
      <xdr:colOff>647700</xdr:colOff>
      <xdr:row>49</xdr:row>
      <xdr:rowOff>180975</xdr:rowOff>
    </xdr:from>
    <xdr:ext cx="283873" cy="264560"/>
    <xdr:sp macro="" textlink="">
      <xdr:nvSpPr>
        <xdr:cNvPr id="107" name="CuadroTexto 106"/>
        <xdr:cNvSpPr txBox="1"/>
      </xdr:nvSpPr>
      <xdr:spPr>
        <a:xfrm>
          <a:off x="8448675"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11</xdr:col>
      <xdr:colOff>600075</xdr:colOff>
      <xdr:row>49</xdr:row>
      <xdr:rowOff>161925</xdr:rowOff>
    </xdr:from>
    <xdr:ext cx="381000" cy="264560"/>
    <xdr:sp macro="" textlink="">
      <xdr:nvSpPr>
        <xdr:cNvPr id="108" name="CuadroTexto 107"/>
        <xdr:cNvSpPr txBox="1"/>
      </xdr:nvSpPr>
      <xdr:spPr>
        <a:xfrm>
          <a:off x="9163050" y="6305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12</xdr:col>
      <xdr:colOff>609600</xdr:colOff>
      <xdr:row>49</xdr:row>
      <xdr:rowOff>152400</xdr:rowOff>
    </xdr:from>
    <xdr:ext cx="342900" cy="264560"/>
    <xdr:sp macro="" textlink="">
      <xdr:nvSpPr>
        <xdr:cNvPr id="109" name="CuadroTexto 108"/>
        <xdr:cNvSpPr txBox="1"/>
      </xdr:nvSpPr>
      <xdr:spPr>
        <a:xfrm>
          <a:off x="9934575" y="629602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13</xdr:col>
      <xdr:colOff>609600</xdr:colOff>
      <xdr:row>49</xdr:row>
      <xdr:rowOff>161925</xdr:rowOff>
    </xdr:from>
    <xdr:ext cx="381000" cy="264560"/>
    <xdr:sp macro="" textlink="">
      <xdr:nvSpPr>
        <xdr:cNvPr id="110" name="CuadroTexto 109"/>
        <xdr:cNvSpPr txBox="1"/>
      </xdr:nvSpPr>
      <xdr:spPr>
        <a:xfrm>
          <a:off x="10696575" y="63055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6</xdr:col>
      <xdr:colOff>647700</xdr:colOff>
      <xdr:row>49</xdr:row>
      <xdr:rowOff>180975</xdr:rowOff>
    </xdr:from>
    <xdr:ext cx="283873" cy="264560"/>
    <xdr:sp macro="" textlink="">
      <xdr:nvSpPr>
        <xdr:cNvPr id="111" name="CuadroTexto 110"/>
        <xdr:cNvSpPr txBox="1"/>
      </xdr:nvSpPr>
      <xdr:spPr>
        <a:xfrm>
          <a:off x="5400675"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49</xdr:row>
      <xdr:rowOff>171450</xdr:rowOff>
    </xdr:from>
    <xdr:ext cx="283873" cy="264560"/>
    <xdr:sp macro="" textlink="">
      <xdr:nvSpPr>
        <xdr:cNvPr id="112" name="CuadroTexto 111"/>
        <xdr:cNvSpPr txBox="1"/>
      </xdr:nvSpPr>
      <xdr:spPr>
        <a:xfrm>
          <a:off x="6153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49</xdr:row>
      <xdr:rowOff>180975</xdr:rowOff>
    </xdr:from>
    <xdr:ext cx="283873" cy="264560"/>
    <xdr:sp macro="" textlink="">
      <xdr:nvSpPr>
        <xdr:cNvPr id="113" name="CuadroTexto 112"/>
        <xdr:cNvSpPr txBox="1"/>
      </xdr:nvSpPr>
      <xdr:spPr>
        <a:xfrm>
          <a:off x="4629150" y="63246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49</xdr:row>
      <xdr:rowOff>171450</xdr:rowOff>
    </xdr:from>
    <xdr:ext cx="283873" cy="264560"/>
    <xdr:sp macro="" textlink="">
      <xdr:nvSpPr>
        <xdr:cNvPr id="114" name="CuadroTexto 113"/>
        <xdr:cNvSpPr txBox="1"/>
      </xdr:nvSpPr>
      <xdr:spPr>
        <a:xfrm>
          <a:off x="6915150" y="63150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twoCellAnchor>
    <xdr:from>
      <xdr:col>16</xdr:col>
      <xdr:colOff>0</xdr:colOff>
      <xdr:row>51</xdr:row>
      <xdr:rowOff>0</xdr:rowOff>
    </xdr:from>
    <xdr:to>
      <xdr:col>16</xdr:col>
      <xdr:colOff>0</xdr:colOff>
      <xdr:row>53</xdr:row>
      <xdr:rowOff>0</xdr:rowOff>
    </xdr:to>
    <xdr:cxnSp macro="">
      <xdr:nvCxnSpPr>
        <xdr:cNvPr id="115" name="Conector recto 114"/>
        <xdr:cNvCxnSpPr/>
      </xdr:nvCxnSpPr>
      <xdr:spPr>
        <a:xfrm>
          <a:off x="12372975" y="65246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51</xdr:row>
      <xdr:rowOff>9525</xdr:rowOff>
    </xdr:from>
    <xdr:to>
      <xdr:col>15</xdr:col>
      <xdr:colOff>0</xdr:colOff>
      <xdr:row>53</xdr:row>
      <xdr:rowOff>9525</xdr:rowOff>
    </xdr:to>
    <xdr:cxnSp macro="">
      <xdr:nvCxnSpPr>
        <xdr:cNvPr id="116" name="Conector recto 115"/>
        <xdr:cNvCxnSpPr/>
      </xdr:nvCxnSpPr>
      <xdr:spPr>
        <a:xfrm>
          <a:off x="11610975" y="65341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609600</xdr:colOff>
      <xdr:row>49</xdr:row>
      <xdr:rowOff>171450</xdr:rowOff>
    </xdr:from>
    <xdr:ext cx="381000" cy="264560"/>
    <xdr:sp macro="" textlink="">
      <xdr:nvSpPr>
        <xdr:cNvPr id="117" name="CuadroTexto 116"/>
        <xdr:cNvSpPr txBox="1"/>
      </xdr:nvSpPr>
      <xdr:spPr>
        <a:xfrm>
          <a:off x="12220575"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14</a:t>
          </a:r>
        </a:p>
      </xdr:txBody>
    </xdr:sp>
    <xdr:clientData/>
  </xdr:oneCellAnchor>
  <xdr:oneCellAnchor>
    <xdr:from>
      <xdr:col>14</xdr:col>
      <xdr:colOff>600075</xdr:colOff>
      <xdr:row>49</xdr:row>
      <xdr:rowOff>171450</xdr:rowOff>
    </xdr:from>
    <xdr:ext cx="381000" cy="264560"/>
    <xdr:sp macro="" textlink="">
      <xdr:nvSpPr>
        <xdr:cNvPr id="118" name="CuadroTexto 117"/>
        <xdr:cNvSpPr txBox="1"/>
      </xdr:nvSpPr>
      <xdr:spPr>
        <a:xfrm>
          <a:off x="11449050" y="6315075"/>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13</a:t>
          </a:r>
        </a:p>
      </xdr:txBody>
    </xdr:sp>
    <xdr:clientData/>
  </xdr:oneCellAnchor>
  <xdr:twoCellAnchor>
    <xdr:from>
      <xdr:col>7</xdr:col>
      <xdr:colOff>752475</xdr:colOff>
      <xdr:row>53</xdr:row>
      <xdr:rowOff>9525</xdr:rowOff>
    </xdr:from>
    <xdr:to>
      <xdr:col>8</xdr:col>
      <xdr:colOff>3</xdr:colOff>
      <xdr:row>56</xdr:row>
      <xdr:rowOff>57150</xdr:rowOff>
    </xdr:to>
    <xdr:cxnSp macro="">
      <xdr:nvCxnSpPr>
        <xdr:cNvPr id="121" name="Conector recto de flecha 120"/>
        <xdr:cNvCxnSpPr/>
      </xdr:nvCxnSpPr>
      <xdr:spPr>
        <a:xfrm flipH="1">
          <a:off x="6267450" y="6915150"/>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485774</xdr:colOff>
      <xdr:row>55</xdr:row>
      <xdr:rowOff>180975</xdr:rowOff>
    </xdr:from>
    <xdr:ext cx="638175" cy="264560"/>
    <xdr:sp macro="" textlink="">
      <xdr:nvSpPr>
        <xdr:cNvPr id="122" name="CuadroTexto 121"/>
        <xdr:cNvSpPr txBox="1"/>
      </xdr:nvSpPr>
      <xdr:spPr>
        <a:xfrm>
          <a:off x="6000749" y="10706100"/>
          <a:ext cx="638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102,02</a:t>
          </a:r>
        </a:p>
      </xdr:txBody>
    </xdr:sp>
    <xdr:clientData/>
  </xdr:oneCellAnchor>
  <xdr:twoCellAnchor>
    <xdr:from>
      <xdr:col>11</xdr:col>
      <xdr:colOff>752475</xdr:colOff>
      <xdr:row>52</xdr:row>
      <xdr:rowOff>180975</xdr:rowOff>
    </xdr:from>
    <xdr:to>
      <xdr:col>12</xdr:col>
      <xdr:colOff>3</xdr:colOff>
      <xdr:row>56</xdr:row>
      <xdr:rowOff>38100</xdr:rowOff>
    </xdr:to>
    <xdr:cxnSp macro="">
      <xdr:nvCxnSpPr>
        <xdr:cNvPr id="125" name="Conector recto de flecha 124"/>
        <xdr:cNvCxnSpPr/>
      </xdr:nvCxnSpPr>
      <xdr:spPr>
        <a:xfrm flipH="1">
          <a:off x="9315450" y="6896100"/>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457200</xdr:colOff>
      <xdr:row>55</xdr:row>
      <xdr:rowOff>152400</xdr:rowOff>
    </xdr:from>
    <xdr:ext cx="590550" cy="436786"/>
    <xdr:sp macro="" textlink="">
      <xdr:nvSpPr>
        <xdr:cNvPr id="126" name="CuadroTexto 125"/>
        <xdr:cNvSpPr txBox="1"/>
      </xdr:nvSpPr>
      <xdr:spPr>
        <a:xfrm>
          <a:off x="9020175" y="10677525"/>
          <a:ext cx="5905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102,02</a:t>
          </a:r>
          <a:endParaRPr lang="en-US">
            <a:effectLst/>
          </a:endParaRPr>
        </a:p>
        <a:p>
          <a:endParaRPr lang="en-US" sz="1100"/>
        </a:p>
      </xdr:txBody>
    </xdr:sp>
    <xdr:clientData/>
  </xdr:oneCellAnchor>
  <xdr:twoCellAnchor>
    <xdr:from>
      <xdr:col>15</xdr:col>
      <xdr:colOff>752475</xdr:colOff>
      <xdr:row>53</xdr:row>
      <xdr:rowOff>0</xdr:rowOff>
    </xdr:from>
    <xdr:to>
      <xdr:col>16</xdr:col>
      <xdr:colOff>3</xdr:colOff>
      <xdr:row>56</xdr:row>
      <xdr:rowOff>47625</xdr:rowOff>
    </xdr:to>
    <xdr:cxnSp macro="">
      <xdr:nvCxnSpPr>
        <xdr:cNvPr id="129" name="Conector recto de flecha 128"/>
        <xdr:cNvCxnSpPr/>
      </xdr:nvCxnSpPr>
      <xdr:spPr>
        <a:xfrm flipH="1">
          <a:off x="12363450" y="6905625"/>
          <a:ext cx="9528" cy="619125"/>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457200</xdr:colOff>
      <xdr:row>55</xdr:row>
      <xdr:rowOff>171450</xdr:rowOff>
    </xdr:from>
    <xdr:ext cx="590550" cy="264560"/>
    <xdr:sp macro="" textlink="">
      <xdr:nvSpPr>
        <xdr:cNvPr id="130" name="CuadroTexto 129"/>
        <xdr:cNvSpPr txBox="1"/>
      </xdr:nvSpPr>
      <xdr:spPr>
        <a:xfrm>
          <a:off x="12068175" y="106965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102,02</a:t>
          </a:r>
          <a:endParaRPr lang="en-US">
            <a:effectLst/>
          </a:endParaRPr>
        </a:p>
      </xdr:txBody>
    </xdr:sp>
    <xdr:clientData/>
  </xdr:oneCellAnchor>
  <xdr:oneCellAnchor>
    <xdr:from>
      <xdr:col>6</xdr:col>
      <xdr:colOff>552450</xdr:colOff>
      <xdr:row>44</xdr:row>
      <xdr:rowOff>85725</xdr:rowOff>
    </xdr:from>
    <xdr:ext cx="4038991" cy="374141"/>
    <xdr:sp macro="" textlink="">
      <xdr:nvSpPr>
        <xdr:cNvPr id="131" name="CuadroTexto 130"/>
        <xdr:cNvSpPr txBox="1"/>
      </xdr:nvSpPr>
      <xdr:spPr>
        <a:xfrm>
          <a:off x="5305425" y="5276850"/>
          <a:ext cx="403899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Renegociando el compromiso financiero</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fec/Downloads/Taller%201-Ingeco%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
      <sheetName val="28"/>
      <sheetName val="31"/>
      <sheetName val="34"/>
      <sheetName val="39"/>
      <sheetName val="41"/>
      <sheetName val="49"/>
      <sheetName val="55"/>
      <sheetName val="58"/>
      <sheetName val="60"/>
      <sheetName val="64"/>
      <sheetName val="67"/>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3">
          <cell r="B13">
            <v>0</v>
          </cell>
        </row>
        <row r="14">
          <cell r="B14">
            <v>1</v>
          </cell>
          <cell r="C14">
            <v>565570.94622359192</v>
          </cell>
        </row>
        <row r="15">
          <cell r="B15">
            <v>2</v>
          </cell>
          <cell r="C15">
            <v>582538.07461029966</v>
          </cell>
        </row>
        <row r="16">
          <cell r="B16">
            <v>3</v>
          </cell>
          <cell r="C16">
            <v>600014.21684860869</v>
          </cell>
        </row>
        <row r="17">
          <cell r="B17">
            <v>4</v>
          </cell>
          <cell r="C17">
            <v>618014.64335406688</v>
          </cell>
        </row>
        <row r="18">
          <cell r="B18">
            <v>5</v>
          </cell>
          <cell r="C18">
            <v>636555.08265468886</v>
          </cell>
        </row>
        <row r="19">
          <cell r="B19">
            <v>6</v>
          </cell>
          <cell r="C19">
            <v>655651.73513432953</v>
          </cell>
        </row>
        <row r="20">
          <cell r="B20">
            <v>7</v>
          </cell>
          <cell r="C20">
            <v>675321.28718835942</v>
          </cell>
        </row>
        <row r="21">
          <cell r="B21">
            <v>8</v>
          </cell>
          <cell r="C21">
            <v>695580.92580401024</v>
          </cell>
        </row>
        <row r="22">
          <cell r="B22">
            <v>9</v>
          </cell>
          <cell r="C22">
            <v>716448.35357813048</v>
          </cell>
        </row>
        <row r="23">
          <cell r="B23">
            <v>10</v>
          </cell>
          <cell r="C23">
            <v>737941.80418547441</v>
          </cell>
        </row>
        <row r="24">
          <cell r="B24">
            <v>11</v>
          </cell>
          <cell r="C24">
            <v>760080.05831103865</v>
          </cell>
        </row>
        <row r="25">
          <cell r="B25">
            <v>12</v>
          </cell>
          <cell r="C25">
            <v>782882.46006036981</v>
          </cell>
        </row>
        <row r="26">
          <cell r="B26">
            <v>13</v>
          </cell>
          <cell r="C26">
            <v>806368.9338621808</v>
          </cell>
        </row>
        <row r="27">
          <cell r="B27">
            <v>14</v>
          </cell>
          <cell r="C27">
            <v>830560.0018780462</v>
          </cell>
        </row>
        <row r="28">
          <cell r="B28">
            <v>15</v>
          </cell>
          <cell r="C28">
            <v>855476.80193438765</v>
          </cell>
        </row>
        <row r="29">
          <cell r="B29">
            <v>16</v>
          </cell>
          <cell r="C29">
            <v>881141.10599241941</v>
          </cell>
        </row>
        <row r="30">
          <cell r="B30">
            <v>17</v>
          </cell>
          <cell r="C30">
            <v>907575.3391721918</v>
          </cell>
        </row>
        <row r="31">
          <cell r="B31">
            <v>18</v>
          </cell>
          <cell r="C31">
            <v>934802.59934735752</v>
          </cell>
        </row>
        <row r="32">
          <cell r="B32">
            <v>19</v>
          </cell>
          <cell r="C32">
            <v>962846.67732777831</v>
          </cell>
        </row>
        <row r="33">
          <cell r="B33">
            <v>20</v>
          </cell>
          <cell r="C33">
            <v>991732.07764761162</v>
          </cell>
        </row>
        <row r="34">
          <cell r="B34">
            <v>21</v>
          </cell>
          <cell r="C34">
            <v>1021484.0399770399</v>
          </cell>
        </row>
        <row r="35">
          <cell r="B35">
            <v>22</v>
          </cell>
          <cell r="C35">
            <v>1052128.561176351</v>
          </cell>
        </row>
        <row r="36">
          <cell r="B36">
            <v>23</v>
          </cell>
          <cell r="C36">
            <v>1083692.4180116416</v>
          </cell>
        </row>
        <row r="37">
          <cell r="B37">
            <v>24</v>
          </cell>
          <cell r="C37">
            <v>1116203.1905519909</v>
          </cell>
        </row>
        <row r="38">
          <cell r="B38">
            <v>25</v>
          </cell>
          <cell r="C38">
            <v>1240000.5408354322</v>
          </cell>
        </row>
        <row r="39">
          <cell r="B39">
            <v>26</v>
          </cell>
          <cell r="C39">
            <v>1240000.5408354322</v>
          </cell>
        </row>
        <row r="40">
          <cell r="B40">
            <v>27</v>
          </cell>
          <cell r="C40">
            <v>1240000.5408354322</v>
          </cell>
        </row>
        <row r="41">
          <cell r="B41">
            <v>28</v>
          </cell>
          <cell r="C41">
            <v>1240000.5408354322</v>
          </cell>
        </row>
        <row r="42">
          <cell r="B42">
            <v>29</v>
          </cell>
          <cell r="C42">
            <v>1240000.5408354322</v>
          </cell>
        </row>
        <row r="43">
          <cell r="B43">
            <v>30</v>
          </cell>
          <cell r="C43">
            <v>1240000.5408354322</v>
          </cell>
        </row>
        <row r="44">
          <cell r="B44">
            <v>31</v>
          </cell>
          <cell r="C44">
            <v>1240000.5408354322</v>
          </cell>
        </row>
        <row r="45">
          <cell r="B45">
            <v>32</v>
          </cell>
          <cell r="C45">
            <v>1240000.5408354322</v>
          </cell>
        </row>
        <row r="46">
          <cell r="B46">
            <v>33</v>
          </cell>
          <cell r="C46">
            <v>1240000.5408354322</v>
          </cell>
        </row>
        <row r="47">
          <cell r="B47">
            <v>34</v>
          </cell>
          <cell r="C47">
            <v>1240000.5408354322</v>
          </cell>
        </row>
        <row r="48">
          <cell r="B48">
            <v>35</v>
          </cell>
          <cell r="C48">
            <v>1240000.5408354322</v>
          </cell>
        </row>
        <row r="49">
          <cell r="B49">
            <v>36</v>
          </cell>
          <cell r="C49">
            <v>1314400.5732855583</v>
          </cell>
        </row>
        <row r="50">
          <cell r="B50">
            <v>37</v>
          </cell>
          <cell r="C50">
            <v>1314400.5732855583</v>
          </cell>
        </row>
        <row r="51">
          <cell r="B51">
            <v>38</v>
          </cell>
          <cell r="C51">
            <v>1314400.5732855583</v>
          </cell>
        </row>
        <row r="52">
          <cell r="B52">
            <v>39</v>
          </cell>
          <cell r="C52">
            <v>1314400.5732855583</v>
          </cell>
        </row>
        <row r="53">
          <cell r="B53">
            <v>40</v>
          </cell>
          <cell r="C53">
            <v>1314400.5732855583</v>
          </cell>
        </row>
        <row r="54">
          <cell r="B54">
            <v>41</v>
          </cell>
          <cell r="C54">
            <v>1314400.5732855583</v>
          </cell>
        </row>
        <row r="55">
          <cell r="B55">
            <v>42</v>
          </cell>
          <cell r="C55">
            <v>1314400.5732855583</v>
          </cell>
        </row>
        <row r="56">
          <cell r="B56">
            <v>43</v>
          </cell>
          <cell r="C56">
            <v>1314400.5732855583</v>
          </cell>
        </row>
        <row r="57">
          <cell r="B57">
            <v>44</v>
          </cell>
          <cell r="C57">
            <v>1314400.5732855583</v>
          </cell>
        </row>
        <row r="58">
          <cell r="B58">
            <v>45</v>
          </cell>
          <cell r="C58">
            <v>1314400.5732855583</v>
          </cell>
        </row>
        <row r="59">
          <cell r="B59">
            <v>46</v>
          </cell>
          <cell r="C59">
            <v>1314400.5732855583</v>
          </cell>
        </row>
        <row r="60">
          <cell r="B60">
            <v>47</v>
          </cell>
          <cell r="C60">
            <v>1314400.5732855583</v>
          </cell>
        </row>
        <row r="61">
          <cell r="B61">
            <v>48</v>
          </cell>
          <cell r="C61">
            <v>1476860.4841436534</v>
          </cell>
        </row>
        <row r="62">
          <cell r="B62">
            <v>49</v>
          </cell>
          <cell r="C62">
            <v>1476860.4841436534</v>
          </cell>
        </row>
        <row r="63">
          <cell r="B63">
            <v>50</v>
          </cell>
          <cell r="C63">
            <v>1476860.4841436534</v>
          </cell>
        </row>
        <row r="64">
          <cell r="B64">
            <v>51</v>
          </cell>
          <cell r="C64">
            <v>1476860.4841436534</v>
          </cell>
        </row>
        <row r="65">
          <cell r="B65">
            <v>52</v>
          </cell>
          <cell r="C65">
            <v>1476860.4841436534</v>
          </cell>
        </row>
        <row r="66">
          <cell r="B66">
            <v>53</v>
          </cell>
          <cell r="C66">
            <v>1476860.4841436534</v>
          </cell>
        </row>
        <row r="67">
          <cell r="B67">
            <v>54</v>
          </cell>
          <cell r="C67">
            <v>1476860.4841436534</v>
          </cell>
        </row>
        <row r="68">
          <cell r="B68">
            <v>55</v>
          </cell>
          <cell r="C68">
            <v>1476860.4841436534</v>
          </cell>
        </row>
        <row r="69">
          <cell r="B69">
            <v>56</v>
          </cell>
          <cell r="C69">
            <v>1476860.4841436534</v>
          </cell>
        </row>
        <row r="70">
          <cell r="B70">
            <v>57</v>
          </cell>
          <cell r="C70">
            <v>1476860.4841436534</v>
          </cell>
        </row>
        <row r="71">
          <cell r="B71">
            <v>58</v>
          </cell>
          <cell r="C71">
            <v>1476860.4841436534</v>
          </cell>
        </row>
        <row r="72">
          <cell r="B72">
            <v>59</v>
          </cell>
          <cell r="C72">
            <v>1476860.4841436534</v>
          </cell>
        </row>
        <row r="73">
          <cell r="B73">
            <v>60</v>
          </cell>
          <cell r="C73">
            <v>1758964.4663828379</v>
          </cell>
        </row>
        <row r="74">
          <cell r="B74">
            <v>61</v>
          </cell>
          <cell r="C74">
            <v>1758964.4663828379</v>
          </cell>
        </row>
        <row r="75">
          <cell r="B75">
            <v>62</v>
          </cell>
          <cell r="C75">
            <v>1758964.4663828379</v>
          </cell>
        </row>
        <row r="76">
          <cell r="B76">
            <v>63</v>
          </cell>
          <cell r="C76">
            <v>1758964.4663828379</v>
          </cell>
        </row>
        <row r="77">
          <cell r="B77">
            <v>64</v>
          </cell>
          <cell r="C77">
            <v>1758964.4663828379</v>
          </cell>
        </row>
        <row r="78">
          <cell r="B78">
            <v>65</v>
          </cell>
          <cell r="C78">
            <v>1758964.4663828379</v>
          </cell>
        </row>
        <row r="79">
          <cell r="B79">
            <v>66</v>
          </cell>
          <cell r="C79">
            <v>1758964.4663828379</v>
          </cell>
        </row>
        <row r="80">
          <cell r="B80">
            <v>67</v>
          </cell>
          <cell r="C80">
            <v>1758964.4663828379</v>
          </cell>
        </row>
        <row r="81">
          <cell r="B81">
            <v>68</v>
          </cell>
          <cell r="C81">
            <v>1758964.4663828379</v>
          </cell>
        </row>
        <row r="82">
          <cell r="B82">
            <v>69</v>
          </cell>
          <cell r="C82">
            <v>1758964.4663828379</v>
          </cell>
        </row>
        <row r="83">
          <cell r="B83">
            <v>70</v>
          </cell>
          <cell r="C83">
            <v>1758964.4663828379</v>
          </cell>
        </row>
        <row r="84">
          <cell r="B84">
            <v>71</v>
          </cell>
          <cell r="C84">
            <v>1758964.4663828379</v>
          </cell>
        </row>
        <row r="85">
          <cell r="B85">
            <v>72</v>
          </cell>
          <cell r="C85">
            <v>2220652.1122670281</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3" workbookViewId="0">
      <selection activeCell="D6" sqref="D6:H6"/>
    </sheetView>
  </sheetViews>
  <sheetFormatPr baseColWidth="10" defaultRowHeight="15" x14ac:dyDescent="0.25"/>
  <sheetData>
    <row r="4" spans="4:8" ht="26.25" x14ac:dyDescent="0.4">
      <c r="D4" s="161" t="s">
        <v>0</v>
      </c>
      <c r="E4" s="161"/>
      <c r="F4" s="161"/>
      <c r="G4" s="161"/>
      <c r="H4" s="161"/>
    </row>
    <row r="6" spans="4:8" ht="21" x14ac:dyDescent="0.35">
      <c r="D6" s="162" t="s">
        <v>1</v>
      </c>
      <c r="E6" s="162"/>
      <c r="F6" s="162"/>
      <c r="G6" s="162"/>
      <c r="H6" s="162"/>
    </row>
    <row r="8" spans="4:8" ht="21" x14ac:dyDescent="0.35">
      <c r="D8" s="162" t="s">
        <v>2</v>
      </c>
      <c r="E8" s="162"/>
      <c r="F8" s="162"/>
      <c r="G8" s="162"/>
      <c r="H8" s="162"/>
    </row>
    <row r="10" spans="4:8" ht="21" x14ac:dyDescent="0.35">
      <c r="D10" s="162" t="s">
        <v>3</v>
      </c>
      <c r="E10" s="162"/>
      <c r="F10" s="162"/>
      <c r="G10" s="162"/>
      <c r="H10" s="162"/>
    </row>
    <row r="12" spans="4:8" ht="21" x14ac:dyDescent="0.35">
      <c r="D12" s="162" t="s">
        <v>4</v>
      </c>
      <c r="E12" s="162"/>
      <c r="F12" s="162"/>
      <c r="G12" s="162"/>
      <c r="H12" s="162"/>
    </row>
    <row r="14" spans="4:8" ht="21" x14ac:dyDescent="0.35">
      <c r="D14" s="163" t="s">
        <v>5</v>
      </c>
      <c r="E14" s="163"/>
      <c r="F14" s="163"/>
      <c r="G14" s="163"/>
      <c r="H14" s="163"/>
    </row>
    <row r="15" spans="4:8" ht="21" x14ac:dyDescent="0.35">
      <c r="E15" s="162" t="s">
        <v>6</v>
      </c>
      <c r="F15" s="162"/>
      <c r="G15" s="162"/>
    </row>
    <row r="17" spans="5:7" ht="21" x14ac:dyDescent="0.35">
      <c r="E17" s="162" t="s">
        <v>7</v>
      </c>
      <c r="F17" s="162"/>
      <c r="G17" s="162"/>
    </row>
  </sheetData>
  <mergeCells count="8">
    <mergeCell ref="D4:H4"/>
    <mergeCell ref="E17:G17"/>
    <mergeCell ref="E15:G15"/>
    <mergeCell ref="D14:H14"/>
    <mergeCell ref="D12:H12"/>
    <mergeCell ref="D10:H10"/>
    <mergeCell ref="D8:H8"/>
    <mergeCell ref="D6:H6"/>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9"/>
  <sheetViews>
    <sheetView workbookViewId="0">
      <selection activeCell="B44" sqref="B44:Q58"/>
    </sheetView>
  </sheetViews>
  <sheetFormatPr baseColWidth="10" defaultRowHeight="15" x14ac:dyDescent="0.25"/>
  <cols>
    <col min="2" max="2" width="14.140625" bestFit="1" customWidth="1"/>
  </cols>
  <sheetData>
    <row r="2" spans="1:17" ht="15.75" x14ac:dyDescent="0.25">
      <c r="A2" s="34" t="s">
        <v>100</v>
      </c>
      <c r="B2" s="176" t="s">
        <v>101</v>
      </c>
      <c r="C2" s="176"/>
      <c r="D2" s="176"/>
      <c r="E2" s="176"/>
      <c r="F2" s="176"/>
      <c r="G2" s="176"/>
      <c r="H2" s="176"/>
      <c r="I2" s="176"/>
    </row>
    <row r="3" spans="1:17" x14ac:dyDescent="0.25">
      <c r="B3" s="176"/>
      <c r="C3" s="176"/>
      <c r="D3" s="176"/>
      <c r="E3" s="176"/>
      <c r="F3" s="176"/>
      <c r="G3" s="176"/>
      <c r="H3" s="176"/>
      <c r="I3" s="176"/>
    </row>
    <row r="4" spans="1:17" x14ac:dyDescent="0.25">
      <c r="B4" s="176"/>
      <c r="C4" s="176"/>
      <c r="D4" s="176"/>
      <c r="E4" s="176"/>
      <c r="F4" s="176"/>
      <c r="G4" s="176"/>
      <c r="H4" s="176"/>
      <c r="I4" s="176"/>
    </row>
    <row r="5" spans="1:17" x14ac:dyDescent="0.25">
      <c r="B5" s="176"/>
      <c r="C5" s="176"/>
      <c r="D5" s="176"/>
      <c r="E5" s="176"/>
      <c r="F5" s="176"/>
      <c r="G5" s="176"/>
      <c r="H5" s="176"/>
      <c r="I5" s="176"/>
    </row>
    <row r="6" spans="1:17" x14ac:dyDescent="0.25">
      <c r="B6" s="176"/>
      <c r="C6" s="176"/>
      <c r="D6" s="176"/>
      <c r="E6" s="176"/>
      <c r="F6" s="176"/>
      <c r="G6" s="176"/>
      <c r="H6" s="176"/>
      <c r="I6" s="176"/>
    </row>
    <row r="7" spans="1:17" ht="15.75" thickBot="1" x14ac:dyDescent="0.3"/>
    <row r="8" spans="1:17" ht="15.75" thickBot="1" x14ac:dyDescent="0.3">
      <c r="B8" s="122" t="s">
        <v>102</v>
      </c>
      <c r="C8" s="127">
        <v>0.02</v>
      </c>
    </row>
    <row r="9" spans="1:17" ht="15.75" thickBot="1" x14ac:dyDescent="0.3"/>
    <row r="10" spans="1:17" ht="15.75" customHeight="1" thickBot="1" x14ac:dyDescent="0.3">
      <c r="B10" s="204" t="s">
        <v>165</v>
      </c>
      <c r="C10" s="205"/>
      <c r="D10" s="205"/>
      <c r="E10" s="205"/>
      <c r="F10" s="206"/>
      <c r="I10" s="204" t="s">
        <v>166</v>
      </c>
      <c r="J10" s="205"/>
      <c r="K10" s="205"/>
      <c r="L10" s="205"/>
      <c r="M10" s="205"/>
      <c r="N10" s="205"/>
      <c r="O10" s="205"/>
      <c r="P10" s="206"/>
    </row>
    <row r="11" spans="1:17" x14ac:dyDescent="0.25">
      <c r="C11" s="129" t="s">
        <v>103</v>
      </c>
      <c r="D11" s="129" t="s">
        <v>104</v>
      </c>
      <c r="E11" s="129" t="s">
        <v>105</v>
      </c>
      <c r="F11" s="129" t="s">
        <v>106</v>
      </c>
      <c r="J11" s="129" t="s">
        <v>103</v>
      </c>
      <c r="K11" s="129" t="s">
        <v>104</v>
      </c>
      <c r="L11" s="129" t="s">
        <v>105</v>
      </c>
      <c r="M11" s="129" t="s">
        <v>106</v>
      </c>
      <c r="N11" s="129" t="s">
        <v>161</v>
      </c>
      <c r="O11" s="129" t="s">
        <v>162</v>
      </c>
      <c r="P11" s="129" t="s">
        <v>163</v>
      </c>
    </row>
    <row r="12" spans="1:17" x14ac:dyDescent="0.25">
      <c r="B12" s="44" t="s">
        <v>110</v>
      </c>
      <c r="C12" s="44">
        <v>50</v>
      </c>
      <c r="D12" s="130">
        <f>E12</f>
        <v>102.020152853181</v>
      </c>
      <c r="E12" s="130">
        <f>F12</f>
        <v>102.020152853181</v>
      </c>
      <c r="F12" s="130">
        <v>102.020152853181</v>
      </c>
      <c r="I12" s="44" t="s">
        <v>110</v>
      </c>
      <c r="J12" s="44">
        <v>50</v>
      </c>
      <c r="K12" s="44">
        <v>50</v>
      </c>
      <c r="L12" s="44">
        <v>50</v>
      </c>
      <c r="M12" s="44">
        <v>50</v>
      </c>
      <c r="N12" s="44">
        <v>50</v>
      </c>
      <c r="O12" s="44">
        <v>50</v>
      </c>
      <c r="P12" s="44">
        <v>50</v>
      </c>
    </row>
    <row r="13" spans="1:17" x14ac:dyDescent="0.25">
      <c r="B13" s="44" t="s">
        <v>164</v>
      </c>
      <c r="C13" s="44">
        <v>2</v>
      </c>
      <c r="D13" s="44">
        <v>6</v>
      </c>
      <c r="E13" s="44">
        <v>10</v>
      </c>
      <c r="F13" s="44">
        <v>14</v>
      </c>
      <c r="I13" s="44" t="s">
        <v>164</v>
      </c>
      <c r="J13" s="44">
        <v>2</v>
      </c>
      <c r="K13" s="44">
        <v>4</v>
      </c>
      <c r="L13" s="44">
        <v>6</v>
      </c>
      <c r="M13" s="44">
        <v>8</v>
      </c>
      <c r="N13" s="44">
        <v>10</v>
      </c>
      <c r="O13" s="44">
        <v>12</v>
      </c>
      <c r="P13" s="44">
        <v>14</v>
      </c>
    </row>
    <row r="14" spans="1:17" x14ac:dyDescent="0.25">
      <c r="B14" s="44" t="s">
        <v>64</v>
      </c>
      <c r="C14" s="45">
        <f>PV($C$8,C13,,-C12)</f>
        <v>48.058439061899271</v>
      </c>
      <c r="D14" s="45">
        <f t="shared" ref="D14:F14" si="0">PV($C$8,D13,,-D12)</f>
        <v>90.590976139885711</v>
      </c>
      <c r="E14" s="45">
        <f t="shared" si="0"/>
        <v>83.692058946110507</v>
      </c>
      <c r="F14" s="45">
        <f t="shared" si="0"/>
        <v>77.318525852105608</v>
      </c>
      <c r="I14" s="44" t="s">
        <v>64</v>
      </c>
      <c r="J14" s="45">
        <f>PV($C$8,J13,,-J12)</f>
        <v>48.058439061899271</v>
      </c>
      <c r="K14" s="45">
        <f t="shared" ref="K14:P14" si="1">PV($C$8,K13,,-K12)</f>
        <v>46.192271301325711</v>
      </c>
      <c r="L14" s="45">
        <f t="shared" si="1"/>
        <v>44.398569109309598</v>
      </c>
      <c r="M14" s="45">
        <f t="shared" si="1"/>
        <v>42.674518559505579</v>
      </c>
      <c r="N14" s="45">
        <f t="shared" si="1"/>
        <v>41.017414993757768</v>
      </c>
      <c r="O14" s="45">
        <f t="shared" si="1"/>
        <v>39.424658779082819</v>
      </c>
      <c r="P14" s="45">
        <f t="shared" si="1"/>
        <v>37.893751229414477</v>
      </c>
    </row>
    <row r="15" spans="1:17" x14ac:dyDescent="0.25">
      <c r="F15" s="45">
        <f>SUM(C14:F14)</f>
        <v>299.66000000000111</v>
      </c>
      <c r="P15" s="45">
        <f>SUM(J14:P14)</f>
        <v>299.65962303429518</v>
      </c>
    </row>
    <row r="16" spans="1:17" ht="15" customHeight="1" x14ac:dyDescent="0.25">
      <c r="E16" s="208" t="s">
        <v>168</v>
      </c>
      <c r="F16" s="208"/>
      <c r="G16" s="208"/>
      <c r="H16" s="208"/>
      <c r="P16" s="207" t="s">
        <v>167</v>
      </c>
      <c r="Q16" s="207"/>
    </row>
    <row r="17" spans="2:17" x14ac:dyDescent="0.25">
      <c r="E17" s="208"/>
      <c r="F17" s="208"/>
      <c r="G17" s="208"/>
      <c r="H17" s="208"/>
      <c r="P17" s="207"/>
      <c r="Q17" s="207"/>
    </row>
    <row r="18" spans="2:17" x14ac:dyDescent="0.25">
      <c r="E18" s="208"/>
      <c r="F18" s="208"/>
      <c r="G18" s="208"/>
      <c r="H18" s="208"/>
    </row>
    <row r="19" spans="2:17" x14ac:dyDescent="0.25">
      <c r="E19" s="208"/>
      <c r="F19" s="208"/>
      <c r="G19" s="208"/>
      <c r="H19" s="208"/>
    </row>
    <row r="21" spans="2:17" ht="15" customHeight="1" x14ac:dyDescent="0.25">
      <c r="C21" s="180" t="s">
        <v>169</v>
      </c>
      <c r="D21" s="180"/>
      <c r="E21" s="180"/>
      <c r="F21" s="180"/>
      <c r="I21" s="74" t="s">
        <v>170</v>
      </c>
      <c r="J21" s="170" t="s">
        <v>171</v>
      </c>
      <c r="K21" s="170"/>
      <c r="L21" s="66"/>
      <c r="M21" s="66"/>
    </row>
    <row r="22" spans="2:17" x14ac:dyDescent="0.25">
      <c r="C22" s="180"/>
      <c r="D22" s="180"/>
      <c r="E22" s="180"/>
      <c r="F22" s="180"/>
    </row>
    <row r="23" spans="2:17" x14ac:dyDescent="0.25">
      <c r="C23" s="180"/>
      <c r="D23" s="180"/>
      <c r="E23" s="180"/>
      <c r="F23" s="180"/>
      <c r="I23" s="131" t="s">
        <v>172</v>
      </c>
      <c r="J23" s="170" t="s">
        <v>173</v>
      </c>
      <c r="K23" s="170"/>
      <c r="L23" s="170"/>
    </row>
    <row r="24" spans="2:17" x14ac:dyDescent="0.25">
      <c r="C24" s="180"/>
      <c r="D24" s="180"/>
      <c r="E24" s="180"/>
      <c r="F24" s="180"/>
    </row>
    <row r="26" spans="2:17" x14ac:dyDescent="0.25">
      <c r="B26" s="66"/>
      <c r="C26" s="66"/>
      <c r="D26" s="66"/>
      <c r="E26" s="66"/>
      <c r="F26" s="66"/>
      <c r="G26" s="66"/>
      <c r="H26" s="66"/>
      <c r="I26" s="66"/>
      <c r="J26" s="66"/>
      <c r="K26" s="66"/>
      <c r="L26" s="66"/>
      <c r="M26" s="66"/>
      <c r="N26" s="66"/>
      <c r="O26" s="66"/>
    </row>
    <row r="27" spans="2:17" x14ac:dyDescent="0.25">
      <c r="B27" s="165"/>
      <c r="C27" s="165"/>
      <c r="D27" s="165"/>
      <c r="E27" s="165"/>
      <c r="F27" s="165"/>
      <c r="G27" s="165"/>
      <c r="H27" s="165"/>
      <c r="I27" s="165"/>
      <c r="J27" s="165"/>
      <c r="K27" s="165"/>
      <c r="L27" s="165"/>
      <c r="M27" s="165"/>
      <c r="N27" s="165"/>
      <c r="O27" s="165"/>
      <c r="P27" s="165"/>
      <c r="Q27" s="165"/>
    </row>
    <row r="28" spans="2:17" x14ac:dyDescent="0.25">
      <c r="B28" s="165"/>
      <c r="C28" s="165"/>
      <c r="D28" s="165"/>
      <c r="E28" s="165"/>
      <c r="F28" s="165"/>
      <c r="G28" s="165"/>
      <c r="H28" s="165"/>
      <c r="I28" s="165"/>
      <c r="J28" s="165"/>
      <c r="K28" s="165"/>
      <c r="L28" s="165"/>
      <c r="M28" s="165"/>
      <c r="N28" s="165"/>
      <c r="O28" s="165"/>
      <c r="P28" s="165"/>
      <c r="Q28" s="165"/>
    </row>
    <row r="29" spans="2:17" x14ac:dyDescent="0.25">
      <c r="B29" s="165"/>
      <c r="C29" s="165"/>
      <c r="D29" s="165"/>
      <c r="E29" s="165"/>
      <c r="F29" s="165"/>
      <c r="G29" s="165"/>
      <c r="H29" s="165"/>
      <c r="I29" s="165"/>
      <c r="J29" s="165"/>
      <c r="K29" s="165"/>
      <c r="L29" s="165"/>
      <c r="M29" s="165"/>
      <c r="N29" s="165"/>
      <c r="O29" s="165"/>
      <c r="P29" s="165"/>
      <c r="Q29" s="165"/>
    </row>
    <row r="30" spans="2:17" x14ac:dyDescent="0.25">
      <c r="B30" s="165"/>
      <c r="C30" s="165"/>
      <c r="D30" s="165"/>
      <c r="E30" s="165"/>
      <c r="F30" s="165"/>
      <c r="G30" s="165"/>
      <c r="H30" s="165"/>
      <c r="I30" s="165"/>
      <c r="J30" s="165"/>
      <c r="K30" s="165"/>
      <c r="L30" s="165"/>
      <c r="M30" s="165"/>
      <c r="N30" s="165"/>
      <c r="O30" s="165"/>
      <c r="P30" s="165"/>
      <c r="Q30" s="165"/>
    </row>
    <row r="31" spans="2:17" x14ac:dyDescent="0.25">
      <c r="B31" s="165"/>
      <c r="C31" s="165"/>
      <c r="D31" s="165"/>
      <c r="E31" s="165"/>
      <c r="F31" s="165"/>
      <c r="G31" s="165"/>
      <c r="H31" s="165"/>
      <c r="I31" s="165"/>
      <c r="J31" s="165"/>
      <c r="K31" s="165"/>
      <c r="L31" s="165"/>
      <c r="M31" s="165"/>
      <c r="N31" s="165"/>
      <c r="O31" s="165"/>
      <c r="P31" s="165"/>
      <c r="Q31" s="165"/>
    </row>
    <row r="32" spans="2:17" x14ac:dyDescent="0.25">
      <c r="B32" s="165"/>
      <c r="C32" s="165"/>
      <c r="D32" s="165"/>
      <c r="E32" s="165"/>
      <c r="F32" s="165"/>
      <c r="G32" s="165"/>
      <c r="H32" s="165"/>
      <c r="I32" s="165"/>
      <c r="J32" s="165"/>
      <c r="K32" s="165"/>
      <c r="L32" s="165"/>
      <c r="M32" s="165"/>
      <c r="N32" s="165"/>
      <c r="O32" s="165"/>
      <c r="P32" s="165"/>
      <c r="Q32" s="165"/>
    </row>
    <row r="33" spans="2:17" x14ac:dyDescent="0.25">
      <c r="B33" s="165"/>
      <c r="C33" s="165"/>
      <c r="D33" s="165"/>
      <c r="E33" s="165"/>
      <c r="F33" s="165"/>
      <c r="G33" s="165"/>
      <c r="H33" s="165"/>
      <c r="I33" s="165"/>
      <c r="J33" s="165"/>
      <c r="K33" s="165"/>
      <c r="L33" s="165"/>
      <c r="M33" s="165"/>
      <c r="N33" s="165"/>
      <c r="O33" s="165"/>
      <c r="P33" s="165"/>
      <c r="Q33" s="165"/>
    </row>
    <row r="34" spans="2:17" x14ac:dyDescent="0.25">
      <c r="B34" s="165"/>
      <c r="C34" s="165"/>
      <c r="D34" s="165"/>
      <c r="E34" s="165"/>
      <c r="F34" s="165"/>
      <c r="G34" s="165"/>
      <c r="H34" s="165"/>
      <c r="I34" s="165"/>
      <c r="J34" s="165"/>
      <c r="K34" s="165"/>
      <c r="L34" s="165"/>
      <c r="M34" s="165"/>
      <c r="N34" s="165"/>
      <c r="O34" s="165"/>
      <c r="P34" s="165"/>
      <c r="Q34" s="165"/>
    </row>
    <row r="35" spans="2:17" x14ac:dyDescent="0.25">
      <c r="B35" s="165"/>
      <c r="C35" s="165"/>
      <c r="D35" s="165"/>
      <c r="E35" s="165"/>
      <c r="F35" s="165"/>
      <c r="G35" s="165"/>
      <c r="H35" s="165"/>
      <c r="I35" s="165"/>
      <c r="J35" s="165"/>
      <c r="K35" s="165"/>
      <c r="L35" s="165"/>
      <c r="M35" s="165"/>
      <c r="N35" s="165"/>
      <c r="O35" s="165"/>
      <c r="P35" s="165"/>
      <c r="Q35" s="165"/>
    </row>
    <row r="36" spans="2:17" x14ac:dyDescent="0.25">
      <c r="B36" s="165"/>
      <c r="C36" s="165"/>
      <c r="D36" s="165"/>
      <c r="E36" s="165"/>
      <c r="F36" s="165"/>
      <c r="G36" s="165"/>
      <c r="H36" s="165"/>
      <c r="I36" s="165"/>
      <c r="J36" s="165"/>
      <c r="K36" s="165"/>
      <c r="L36" s="165"/>
      <c r="M36" s="165"/>
      <c r="N36" s="165"/>
      <c r="O36" s="165"/>
      <c r="P36" s="165"/>
      <c r="Q36" s="165"/>
    </row>
    <row r="37" spans="2:17" x14ac:dyDescent="0.25">
      <c r="B37" s="165"/>
      <c r="C37" s="165"/>
      <c r="D37" s="165"/>
      <c r="E37" s="165"/>
      <c r="F37" s="165"/>
      <c r="G37" s="165"/>
      <c r="H37" s="165"/>
      <c r="I37" s="165"/>
      <c r="J37" s="165"/>
      <c r="K37" s="165"/>
      <c r="L37" s="165"/>
      <c r="M37" s="165"/>
      <c r="N37" s="165"/>
      <c r="O37" s="165"/>
      <c r="P37" s="165"/>
      <c r="Q37" s="165"/>
    </row>
    <row r="38" spans="2:17" x14ac:dyDescent="0.25">
      <c r="B38" s="165"/>
      <c r="C38" s="165"/>
      <c r="D38" s="165"/>
      <c r="E38" s="165"/>
      <c r="F38" s="165"/>
      <c r="G38" s="165"/>
      <c r="H38" s="165"/>
      <c r="I38" s="165"/>
      <c r="J38" s="165"/>
      <c r="K38" s="165"/>
      <c r="L38" s="165"/>
      <c r="M38" s="165"/>
      <c r="N38" s="165"/>
      <c r="O38" s="165"/>
      <c r="P38" s="165"/>
      <c r="Q38" s="165"/>
    </row>
    <row r="39" spans="2:17" x14ac:dyDescent="0.25">
      <c r="B39" s="165"/>
      <c r="C39" s="165"/>
      <c r="D39" s="165"/>
      <c r="E39" s="165"/>
      <c r="F39" s="165"/>
      <c r="G39" s="165"/>
      <c r="H39" s="165"/>
      <c r="I39" s="165"/>
      <c r="J39" s="165"/>
      <c r="K39" s="165"/>
      <c r="L39" s="165"/>
      <c r="M39" s="165"/>
      <c r="N39" s="165"/>
      <c r="O39" s="165"/>
      <c r="P39" s="165"/>
      <c r="Q39" s="165"/>
    </row>
    <row r="40" spans="2:17" x14ac:dyDescent="0.25">
      <c r="B40" s="165"/>
      <c r="C40" s="165"/>
      <c r="D40" s="165"/>
      <c r="E40" s="165"/>
      <c r="F40" s="165"/>
      <c r="G40" s="165"/>
      <c r="H40" s="165"/>
      <c r="I40" s="165"/>
      <c r="J40" s="165"/>
      <c r="K40" s="165"/>
      <c r="L40" s="165"/>
      <c r="M40" s="165"/>
      <c r="N40" s="165"/>
      <c r="O40" s="165"/>
      <c r="P40" s="165"/>
      <c r="Q40" s="165"/>
    </row>
    <row r="41" spans="2:17" x14ac:dyDescent="0.25">
      <c r="B41" s="165"/>
      <c r="C41" s="165"/>
      <c r="D41" s="165"/>
      <c r="E41" s="165"/>
      <c r="F41" s="165"/>
      <c r="G41" s="165"/>
      <c r="H41" s="165"/>
      <c r="I41" s="165"/>
      <c r="J41" s="165"/>
      <c r="K41" s="165"/>
      <c r="L41" s="165"/>
      <c r="M41" s="165"/>
      <c r="N41" s="165"/>
      <c r="O41" s="165"/>
      <c r="P41" s="165"/>
      <c r="Q41" s="165"/>
    </row>
    <row r="42" spans="2:17" x14ac:dyDescent="0.25">
      <c r="B42" s="165"/>
      <c r="C42" s="165"/>
      <c r="D42" s="165"/>
      <c r="E42" s="165"/>
      <c r="F42" s="165"/>
      <c r="G42" s="165"/>
      <c r="H42" s="165"/>
      <c r="I42" s="165"/>
      <c r="J42" s="165"/>
      <c r="K42" s="165"/>
      <c r="L42" s="165"/>
      <c r="M42" s="165"/>
      <c r="N42" s="165"/>
      <c r="O42" s="165"/>
      <c r="P42" s="165"/>
      <c r="Q42" s="165"/>
    </row>
    <row r="43" spans="2:17" x14ac:dyDescent="0.25">
      <c r="B43" s="66"/>
      <c r="C43" s="66"/>
      <c r="D43" s="66"/>
      <c r="E43" s="66"/>
      <c r="F43" s="66"/>
      <c r="G43" s="66"/>
      <c r="H43" s="66"/>
      <c r="I43" s="66"/>
      <c r="J43" s="66"/>
      <c r="K43" s="66"/>
      <c r="L43" s="66"/>
      <c r="M43" s="66"/>
      <c r="N43" s="66"/>
      <c r="O43" s="66"/>
    </row>
    <row r="44" spans="2:17" x14ac:dyDescent="0.25">
      <c r="B44" s="165"/>
      <c r="C44" s="165"/>
      <c r="D44" s="165"/>
      <c r="E44" s="165"/>
      <c r="F44" s="165"/>
      <c r="G44" s="165"/>
      <c r="H44" s="165"/>
      <c r="I44" s="165"/>
      <c r="J44" s="165"/>
      <c r="K44" s="165"/>
      <c r="L44" s="165"/>
      <c r="M44" s="165"/>
      <c r="N44" s="165"/>
      <c r="O44" s="165"/>
      <c r="P44" s="165"/>
      <c r="Q44" s="165"/>
    </row>
    <row r="45" spans="2:17" x14ac:dyDescent="0.25">
      <c r="B45" s="165"/>
      <c r="C45" s="165"/>
      <c r="D45" s="165"/>
      <c r="E45" s="165"/>
      <c r="F45" s="165"/>
      <c r="G45" s="165"/>
      <c r="H45" s="165"/>
      <c r="I45" s="165"/>
      <c r="J45" s="165"/>
      <c r="K45" s="165"/>
      <c r="L45" s="165"/>
      <c r="M45" s="165"/>
      <c r="N45" s="165"/>
      <c r="O45" s="165"/>
      <c r="P45" s="165"/>
      <c r="Q45" s="165"/>
    </row>
    <row r="46" spans="2:17" x14ac:dyDescent="0.25">
      <c r="B46" s="165"/>
      <c r="C46" s="165"/>
      <c r="D46" s="165"/>
      <c r="E46" s="165"/>
      <c r="F46" s="165"/>
      <c r="G46" s="165"/>
      <c r="H46" s="165"/>
      <c r="I46" s="165"/>
      <c r="J46" s="165"/>
      <c r="K46" s="165"/>
      <c r="L46" s="165"/>
      <c r="M46" s="165"/>
      <c r="N46" s="165"/>
      <c r="O46" s="165"/>
      <c r="P46" s="165"/>
      <c r="Q46" s="165"/>
    </row>
    <row r="47" spans="2:17" x14ac:dyDescent="0.25">
      <c r="B47" s="165"/>
      <c r="C47" s="165"/>
      <c r="D47" s="165"/>
      <c r="E47" s="165"/>
      <c r="F47" s="165"/>
      <c r="G47" s="165"/>
      <c r="H47" s="165"/>
      <c r="I47" s="165"/>
      <c r="J47" s="165"/>
      <c r="K47" s="165"/>
      <c r="L47" s="165"/>
      <c r="M47" s="165"/>
      <c r="N47" s="165"/>
      <c r="O47" s="165"/>
      <c r="P47" s="165"/>
      <c r="Q47" s="165"/>
    </row>
    <row r="48" spans="2:17" x14ac:dyDescent="0.25">
      <c r="B48" s="165"/>
      <c r="C48" s="165"/>
      <c r="D48" s="165"/>
      <c r="E48" s="165"/>
      <c r="F48" s="165"/>
      <c r="G48" s="165"/>
      <c r="H48" s="165"/>
      <c r="I48" s="165"/>
      <c r="J48" s="165"/>
      <c r="K48" s="165"/>
      <c r="L48" s="165"/>
      <c r="M48" s="165"/>
      <c r="N48" s="165"/>
      <c r="O48" s="165"/>
      <c r="P48" s="165"/>
      <c r="Q48" s="165"/>
    </row>
    <row r="49" spans="2:17" x14ac:dyDescent="0.25">
      <c r="B49" s="165"/>
      <c r="C49" s="165"/>
      <c r="D49" s="165"/>
      <c r="E49" s="165"/>
      <c r="F49" s="165"/>
      <c r="G49" s="165"/>
      <c r="H49" s="165"/>
      <c r="I49" s="165"/>
      <c r="J49" s="165"/>
      <c r="K49" s="165"/>
      <c r="L49" s="165"/>
      <c r="M49" s="165"/>
      <c r="N49" s="165"/>
      <c r="O49" s="165"/>
      <c r="P49" s="165"/>
      <c r="Q49" s="165"/>
    </row>
    <row r="50" spans="2:17" x14ac:dyDescent="0.25">
      <c r="B50" s="165"/>
      <c r="C50" s="165"/>
      <c r="D50" s="165"/>
      <c r="E50" s="165"/>
      <c r="F50" s="165"/>
      <c r="G50" s="165"/>
      <c r="H50" s="165"/>
      <c r="I50" s="165"/>
      <c r="J50" s="165"/>
      <c r="K50" s="165"/>
      <c r="L50" s="165"/>
      <c r="M50" s="165"/>
      <c r="N50" s="165"/>
      <c r="O50" s="165"/>
      <c r="P50" s="165"/>
      <c r="Q50" s="165"/>
    </row>
    <row r="51" spans="2:17" x14ac:dyDescent="0.25">
      <c r="B51" s="165"/>
      <c r="C51" s="165"/>
      <c r="D51" s="165"/>
      <c r="E51" s="165"/>
      <c r="F51" s="165"/>
      <c r="G51" s="165"/>
      <c r="H51" s="165"/>
      <c r="I51" s="165"/>
      <c r="J51" s="165"/>
      <c r="K51" s="165"/>
      <c r="L51" s="165"/>
      <c r="M51" s="165"/>
      <c r="N51" s="165"/>
      <c r="O51" s="165"/>
      <c r="P51" s="165"/>
      <c r="Q51" s="165"/>
    </row>
    <row r="52" spans="2:17" x14ac:dyDescent="0.25">
      <c r="B52" s="165"/>
      <c r="C52" s="165"/>
      <c r="D52" s="165"/>
      <c r="E52" s="165"/>
      <c r="F52" s="165"/>
      <c r="G52" s="165"/>
      <c r="H52" s="165"/>
      <c r="I52" s="165"/>
      <c r="J52" s="165"/>
      <c r="K52" s="165"/>
      <c r="L52" s="165"/>
      <c r="M52" s="165"/>
      <c r="N52" s="165"/>
      <c r="O52" s="165"/>
      <c r="P52" s="165"/>
      <c r="Q52" s="165"/>
    </row>
    <row r="53" spans="2:17" x14ac:dyDescent="0.25">
      <c r="B53" s="165"/>
      <c r="C53" s="165"/>
      <c r="D53" s="165"/>
      <c r="E53" s="165"/>
      <c r="F53" s="165"/>
      <c r="G53" s="165"/>
      <c r="H53" s="165"/>
      <c r="I53" s="165"/>
      <c r="J53" s="165"/>
      <c r="K53" s="165"/>
      <c r="L53" s="165"/>
      <c r="M53" s="165"/>
      <c r="N53" s="165"/>
      <c r="O53" s="165"/>
      <c r="P53" s="165"/>
      <c r="Q53" s="165"/>
    </row>
    <row r="54" spans="2:17" x14ac:dyDescent="0.25">
      <c r="B54" s="165"/>
      <c r="C54" s="165"/>
      <c r="D54" s="165"/>
      <c r="E54" s="165"/>
      <c r="F54" s="165"/>
      <c r="G54" s="165"/>
      <c r="H54" s="165"/>
      <c r="I54" s="165"/>
      <c r="J54" s="165"/>
      <c r="K54" s="165"/>
      <c r="L54" s="165"/>
      <c r="M54" s="165"/>
      <c r="N54" s="165"/>
      <c r="O54" s="165"/>
      <c r="P54" s="165"/>
      <c r="Q54" s="165"/>
    </row>
    <row r="55" spans="2:17" x14ac:dyDescent="0.25">
      <c r="B55" s="165"/>
      <c r="C55" s="165"/>
      <c r="D55" s="165"/>
      <c r="E55" s="165"/>
      <c r="F55" s="165"/>
      <c r="G55" s="165"/>
      <c r="H55" s="165"/>
      <c r="I55" s="165"/>
      <c r="J55" s="165"/>
      <c r="K55" s="165"/>
      <c r="L55" s="165"/>
      <c r="M55" s="165"/>
      <c r="N55" s="165"/>
      <c r="O55" s="165"/>
      <c r="P55" s="165"/>
      <c r="Q55" s="165"/>
    </row>
    <row r="56" spans="2:17" x14ac:dyDescent="0.25">
      <c r="B56" s="165"/>
      <c r="C56" s="165"/>
      <c r="D56" s="165"/>
      <c r="E56" s="165"/>
      <c r="F56" s="165"/>
      <c r="G56" s="165"/>
      <c r="H56" s="165"/>
      <c r="I56" s="165"/>
      <c r="J56" s="165"/>
      <c r="K56" s="165"/>
      <c r="L56" s="165"/>
      <c r="M56" s="165"/>
      <c r="N56" s="165"/>
      <c r="O56" s="165"/>
      <c r="P56" s="165"/>
      <c r="Q56" s="165"/>
    </row>
    <row r="57" spans="2:17" x14ac:dyDescent="0.25">
      <c r="B57" s="165"/>
      <c r="C57" s="165"/>
      <c r="D57" s="165"/>
      <c r="E57" s="165"/>
      <c r="F57" s="165"/>
      <c r="G57" s="165"/>
      <c r="H57" s="165"/>
      <c r="I57" s="165"/>
      <c r="J57" s="165"/>
      <c r="K57" s="165"/>
      <c r="L57" s="165"/>
      <c r="M57" s="165"/>
      <c r="N57" s="165"/>
      <c r="O57" s="165"/>
      <c r="P57" s="165"/>
      <c r="Q57" s="165"/>
    </row>
    <row r="58" spans="2:17" x14ac:dyDescent="0.25">
      <c r="B58" s="165"/>
      <c r="C58" s="165"/>
      <c r="D58" s="165"/>
      <c r="E58" s="165"/>
      <c r="F58" s="165"/>
      <c r="G58" s="165"/>
      <c r="H58" s="165"/>
      <c r="I58" s="165"/>
      <c r="J58" s="165"/>
      <c r="K58" s="165"/>
      <c r="L58" s="165"/>
      <c r="M58" s="165"/>
      <c r="N58" s="165"/>
      <c r="O58" s="165"/>
      <c r="P58" s="165"/>
      <c r="Q58" s="165"/>
    </row>
    <row r="59" spans="2:17" x14ac:dyDescent="0.25">
      <c r="B59" s="66"/>
      <c r="C59" s="66"/>
      <c r="D59" s="66"/>
      <c r="E59" s="66"/>
      <c r="F59" s="66"/>
      <c r="G59" s="66"/>
      <c r="H59" s="66"/>
      <c r="I59" s="66"/>
      <c r="J59" s="66"/>
      <c r="K59" s="66"/>
      <c r="L59" s="66"/>
      <c r="M59" s="66"/>
      <c r="N59" s="66"/>
      <c r="O59" s="66"/>
      <c r="P59" s="66"/>
      <c r="Q59" s="66"/>
    </row>
  </sheetData>
  <mergeCells count="10">
    <mergeCell ref="B2:I6"/>
    <mergeCell ref="B10:F10"/>
    <mergeCell ref="I10:P10"/>
    <mergeCell ref="P16:Q17"/>
    <mergeCell ref="E16:H19"/>
    <mergeCell ref="B27:Q42"/>
    <mergeCell ref="B44:Q58"/>
    <mergeCell ref="C21:F24"/>
    <mergeCell ref="J21:K21"/>
    <mergeCell ref="J23:L23"/>
  </mergeCells>
  <pageMargins left="0.7" right="0.7" top="0.75" bottom="0.75" header="0.3" footer="0.3"/>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H7" sqref="H7"/>
    </sheetView>
  </sheetViews>
  <sheetFormatPr baseColWidth="10" defaultRowHeight="15" x14ac:dyDescent="0.25"/>
  <sheetData>
    <row r="1" spans="1:13" ht="26.25" x14ac:dyDescent="0.4">
      <c r="B1" s="161" t="s">
        <v>175</v>
      </c>
      <c r="C1" s="161"/>
      <c r="D1" s="161"/>
      <c r="E1" s="161"/>
    </row>
    <row r="2" spans="1:13" ht="15.75" x14ac:dyDescent="0.25">
      <c r="A2" s="34" t="s">
        <v>107</v>
      </c>
      <c r="B2" s="176" t="s">
        <v>108</v>
      </c>
      <c r="C2" s="176"/>
      <c r="D2" s="176"/>
      <c r="E2" s="176"/>
      <c r="F2" s="176"/>
      <c r="G2" s="176"/>
    </row>
    <row r="3" spans="1:13" x14ac:dyDescent="0.25">
      <c r="B3" s="176"/>
      <c r="C3" s="176"/>
      <c r="D3" s="176"/>
      <c r="E3" s="176"/>
      <c r="F3" s="176"/>
      <c r="G3" s="176"/>
    </row>
    <row r="4" spans="1:13" x14ac:dyDescent="0.25">
      <c r="B4" s="176"/>
      <c r="C4" s="176"/>
      <c r="D4" s="176"/>
      <c r="E4" s="176"/>
      <c r="F4" s="176"/>
      <c r="G4" s="176"/>
      <c r="I4" s="185" t="s">
        <v>178</v>
      </c>
      <c r="J4" s="185"/>
    </row>
    <row r="5" spans="1:13" ht="15.75" thickBot="1" x14ac:dyDescent="0.3">
      <c r="I5" s="165"/>
      <c r="J5" s="165"/>
    </row>
    <row r="6" spans="1:13" ht="15.75" thickBot="1" x14ac:dyDescent="0.3">
      <c r="B6" s="123" t="s">
        <v>84</v>
      </c>
      <c r="C6" s="132">
        <v>0.15</v>
      </c>
      <c r="E6" s="122" t="s">
        <v>72</v>
      </c>
      <c r="F6" s="126">
        <v>300000</v>
      </c>
      <c r="I6" s="165"/>
      <c r="J6" s="165"/>
    </row>
    <row r="7" spans="1:13" ht="15.75" thickBot="1" x14ac:dyDescent="0.3">
      <c r="B7" s="120" t="s">
        <v>74</v>
      </c>
      <c r="C7" s="133">
        <v>5</v>
      </c>
      <c r="I7" s="165"/>
      <c r="J7" s="165"/>
    </row>
    <row r="8" spans="1:13" x14ac:dyDescent="0.25">
      <c r="B8" t="s">
        <v>109</v>
      </c>
      <c r="C8" s="51">
        <f>PMT(C6,C7,-F6)</f>
        <v>89494.665738458498</v>
      </c>
      <c r="I8" s="165"/>
      <c r="J8" s="165"/>
      <c r="K8" s="66"/>
      <c r="L8" s="66"/>
      <c r="M8" s="66"/>
    </row>
    <row r="9" spans="1:13" x14ac:dyDescent="0.25">
      <c r="B9" t="s">
        <v>176</v>
      </c>
      <c r="C9" s="51">
        <v>89494.665738458527</v>
      </c>
      <c r="K9" s="66"/>
      <c r="L9" s="66"/>
      <c r="M9" s="66"/>
    </row>
    <row r="10" spans="1:13" x14ac:dyDescent="0.25">
      <c r="K10" s="66"/>
      <c r="L10" s="66"/>
      <c r="M10" s="66"/>
    </row>
    <row r="11" spans="1:13" x14ac:dyDescent="0.25">
      <c r="B11" s="40" t="s">
        <v>74</v>
      </c>
      <c r="C11" s="40" t="s">
        <v>110</v>
      </c>
      <c r="D11" s="40" t="s">
        <v>111</v>
      </c>
      <c r="E11" s="40" t="s">
        <v>47</v>
      </c>
      <c r="F11" s="40" t="s">
        <v>112</v>
      </c>
      <c r="K11" s="66"/>
      <c r="L11" s="66"/>
      <c r="M11" s="66"/>
    </row>
    <row r="12" spans="1:13" x14ac:dyDescent="0.25">
      <c r="B12" s="28">
        <v>0</v>
      </c>
      <c r="C12" s="28"/>
      <c r="D12" s="28"/>
      <c r="E12" s="28"/>
      <c r="F12" s="52">
        <v>300000</v>
      </c>
      <c r="H12" s="180" t="s">
        <v>177</v>
      </c>
      <c r="I12" s="180"/>
      <c r="J12" s="180"/>
      <c r="K12" s="66"/>
      <c r="L12" s="66"/>
      <c r="M12" s="66"/>
    </row>
    <row r="13" spans="1:13" x14ac:dyDescent="0.25">
      <c r="B13" s="28">
        <v>1</v>
      </c>
      <c r="C13" s="52">
        <f>$C$9</f>
        <v>89494.665738458527</v>
      </c>
      <c r="D13" s="52">
        <f>C13-E13</f>
        <v>44494.665738458527</v>
      </c>
      <c r="E13" s="52">
        <f>F12*$C$6</f>
        <v>45000</v>
      </c>
      <c r="F13" s="52">
        <f>F12-D13</f>
        <v>255505.33426154149</v>
      </c>
      <c r="H13" s="180"/>
      <c r="I13" s="180"/>
      <c r="J13" s="180"/>
      <c r="K13" s="66"/>
      <c r="L13" s="66"/>
      <c r="M13" s="66"/>
    </row>
    <row r="14" spans="1:13" x14ac:dyDescent="0.25">
      <c r="B14" s="28">
        <v>2</v>
      </c>
      <c r="C14" s="52">
        <f t="shared" ref="C14:C17" si="0">$C$9</f>
        <v>89494.665738458527</v>
      </c>
      <c r="D14" s="52">
        <f t="shared" ref="D14:D17" si="1">C14-E14</f>
        <v>51168.865599227305</v>
      </c>
      <c r="E14" s="52">
        <f t="shared" ref="E14:E17" si="2">F13*$C$6</f>
        <v>38325.800139231222</v>
      </c>
      <c r="F14" s="52">
        <f t="shared" ref="F14:F16" si="3">F13-D14</f>
        <v>204336.46866231418</v>
      </c>
      <c r="H14" s="180"/>
      <c r="I14" s="180"/>
      <c r="J14" s="180"/>
      <c r="K14" s="66"/>
      <c r="L14" s="66"/>
      <c r="M14" s="66"/>
    </row>
    <row r="15" spans="1:13" x14ac:dyDescent="0.25">
      <c r="B15" s="28">
        <v>3</v>
      </c>
      <c r="C15" s="52">
        <f t="shared" si="0"/>
        <v>89494.665738458527</v>
      </c>
      <c r="D15" s="52">
        <f t="shared" si="1"/>
        <v>58844.195439111398</v>
      </c>
      <c r="E15" s="52">
        <f t="shared" si="2"/>
        <v>30650.470299347126</v>
      </c>
      <c r="F15" s="52">
        <f t="shared" si="3"/>
        <v>145492.27322320279</v>
      </c>
      <c r="H15" s="180"/>
      <c r="I15" s="180"/>
      <c r="J15" s="180"/>
      <c r="K15" s="66"/>
      <c r="L15" s="66"/>
      <c r="M15" s="66"/>
    </row>
    <row r="16" spans="1:13" x14ac:dyDescent="0.25">
      <c r="B16" s="28">
        <v>4</v>
      </c>
      <c r="C16" s="52">
        <f t="shared" si="0"/>
        <v>89494.665738458527</v>
      </c>
      <c r="D16" s="52">
        <f t="shared" si="1"/>
        <v>67670.824754978108</v>
      </c>
      <c r="E16" s="52">
        <f t="shared" si="2"/>
        <v>21823.840983480419</v>
      </c>
      <c r="F16" s="52">
        <f t="shared" si="3"/>
        <v>77821.448468224684</v>
      </c>
      <c r="H16" s="66"/>
      <c r="I16" s="66"/>
      <c r="J16" s="66"/>
      <c r="K16" s="66"/>
      <c r="L16" s="66"/>
      <c r="M16" s="66"/>
    </row>
    <row r="17" spans="2:15" x14ac:dyDescent="0.25">
      <c r="B17" s="28">
        <v>5</v>
      </c>
      <c r="C17" s="52">
        <f t="shared" si="0"/>
        <v>89494.665738458527</v>
      </c>
      <c r="D17" s="52">
        <f t="shared" si="1"/>
        <v>77821.448468224829</v>
      </c>
      <c r="E17" s="52">
        <f t="shared" si="2"/>
        <v>11673.217270233703</v>
      </c>
      <c r="F17" s="52">
        <f>F16-D17</f>
        <v>-1.4551915228366852E-10</v>
      </c>
      <c r="H17" s="66"/>
      <c r="I17" s="66"/>
      <c r="J17" s="66"/>
      <c r="K17" s="66"/>
      <c r="L17" s="66"/>
      <c r="M17" s="66"/>
    </row>
    <row r="20" spans="2:15" x14ac:dyDescent="0.25">
      <c r="B20" s="165"/>
      <c r="C20" s="165"/>
      <c r="D20" s="165"/>
      <c r="E20" s="165"/>
      <c r="F20" s="165"/>
      <c r="G20" s="165"/>
      <c r="H20" s="165"/>
      <c r="I20" s="66"/>
      <c r="J20" s="66"/>
      <c r="K20" s="66"/>
      <c r="L20" s="66"/>
      <c r="M20" s="66"/>
      <c r="N20" s="66"/>
      <c r="O20" s="66"/>
    </row>
    <row r="21" spans="2:15" x14ac:dyDescent="0.25">
      <c r="B21" s="165"/>
      <c r="C21" s="165"/>
      <c r="D21" s="165"/>
      <c r="E21" s="165"/>
      <c r="F21" s="165"/>
      <c r="G21" s="165"/>
      <c r="H21" s="165"/>
      <c r="I21" s="66"/>
      <c r="J21" s="66"/>
      <c r="K21" s="66"/>
      <c r="L21" s="66"/>
      <c r="M21" s="66"/>
      <c r="N21" s="66"/>
      <c r="O21" s="66"/>
    </row>
    <row r="22" spans="2:15" x14ac:dyDescent="0.25">
      <c r="B22" s="165"/>
      <c r="C22" s="165"/>
      <c r="D22" s="165"/>
      <c r="E22" s="165"/>
      <c r="F22" s="165"/>
      <c r="G22" s="165"/>
      <c r="H22" s="165"/>
      <c r="I22" s="66"/>
      <c r="J22" s="66"/>
      <c r="K22" s="66"/>
      <c r="L22" s="66"/>
      <c r="M22" s="66"/>
      <c r="N22" s="66"/>
      <c r="O22" s="66"/>
    </row>
    <row r="23" spans="2:15" x14ac:dyDescent="0.25">
      <c r="B23" s="165"/>
      <c r="C23" s="165"/>
      <c r="D23" s="165"/>
      <c r="E23" s="165"/>
      <c r="F23" s="165"/>
      <c r="G23" s="165"/>
      <c r="H23" s="165"/>
      <c r="I23" s="66"/>
      <c r="J23" s="66"/>
      <c r="K23" s="66"/>
      <c r="L23" s="66"/>
      <c r="M23" s="66"/>
      <c r="N23" s="66"/>
      <c r="O23" s="66"/>
    </row>
    <row r="24" spans="2:15" x14ac:dyDescent="0.25">
      <c r="B24" s="165"/>
      <c r="C24" s="165"/>
      <c r="D24" s="165"/>
      <c r="E24" s="165"/>
      <c r="F24" s="165"/>
      <c r="G24" s="165"/>
      <c r="H24" s="165"/>
      <c r="I24" s="66"/>
      <c r="J24" s="66"/>
      <c r="K24" s="66"/>
      <c r="L24" s="66"/>
      <c r="M24" s="66"/>
      <c r="N24" s="66"/>
      <c r="O24" s="66"/>
    </row>
    <row r="25" spans="2:15" x14ac:dyDescent="0.25">
      <c r="B25" s="165"/>
      <c r="C25" s="165"/>
      <c r="D25" s="165"/>
      <c r="E25" s="165"/>
      <c r="F25" s="165"/>
      <c r="G25" s="165"/>
      <c r="H25" s="165"/>
      <c r="I25" s="66"/>
      <c r="J25" s="66"/>
      <c r="K25" s="66"/>
      <c r="L25" s="66"/>
      <c r="M25" s="66"/>
      <c r="N25" s="66"/>
      <c r="O25" s="66"/>
    </row>
    <row r="26" spans="2:15" x14ac:dyDescent="0.25">
      <c r="B26" s="165"/>
      <c r="C26" s="165"/>
      <c r="D26" s="165"/>
      <c r="E26" s="165"/>
      <c r="F26" s="165"/>
      <c r="G26" s="165"/>
      <c r="H26" s="165"/>
      <c r="I26" s="66"/>
      <c r="J26" s="66"/>
      <c r="K26" s="66"/>
      <c r="L26" s="66"/>
      <c r="M26" s="66"/>
      <c r="N26" s="66"/>
      <c r="O26" s="66"/>
    </row>
    <row r="27" spans="2:15" x14ac:dyDescent="0.25">
      <c r="B27" s="165"/>
      <c r="C27" s="165"/>
      <c r="D27" s="165"/>
      <c r="E27" s="165"/>
      <c r="F27" s="165"/>
      <c r="G27" s="165"/>
      <c r="H27" s="165"/>
      <c r="I27" s="66"/>
      <c r="J27" s="66"/>
      <c r="K27" s="66"/>
      <c r="L27" s="66"/>
      <c r="M27" s="66"/>
      <c r="N27" s="66"/>
      <c r="O27" s="66"/>
    </row>
    <row r="28" spans="2:15" x14ac:dyDescent="0.25">
      <c r="B28" s="165"/>
      <c r="C28" s="165"/>
      <c r="D28" s="165"/>
      <c r="E28" s="165"/>
      <c r="F28" s="165"/>
      <c r="G28" s="165"/>
      <c r="H28" s="165"/>
      <c r="I28" s="66"/>
      <c r="J28" s="66"/>
      <c r="K28" s="66"/>
      <c r="L28" s="66"/>
      <c r="M28" s="66"/>
      <c r="N28" s="66"/>
      <c r="O28" s="66"/>
    </row>
    <row r="29" spans="2:15" x14ac:dyDescent="0.25">
      <c r="B29" s="165"/>
      <c r="C29" s="165"/>
      <c r="D29" s="165"/>
      <c r="E29" s="165"/>
      <c r="F29" s="165"/>
      <c r="G29" s="165"/>
      <c r="H29" s="165"/>
      <c r="I29" s="66"/>
      <c r="J29" s="66"/>
      <c r="K29" s="66"/>
      <c r="L29" s="66"/>
      <c r="M29" s="66"/>
      <c r="N29" s="66"/>
      <c r="O29" s="66"/>
    </row>
    <row r="30" spans="2:15" x14ac:dyDescent="0.25">
      <c r="B30" s="165"/>
      <c r="C30" s="165"/>
      <c r="D30" s="165"/>
      <c r="E30" s="165"/>
      <c r="F30" s="165"/>
      <c r="G30" s="165"/>
      <c r="H30" s="165"/>
      <c r="I30" s="66"/>
      <c r="J30" s="66"/>
      <c r="K30" s="66"/>
      <c r="L30" s="66"/>
      <c r="M30" s="66"/>
      <c r="N30" s="66"/>
      <c r="O30" s="66"/>
    </row>
    <row r="31" spans="2:15" x14ac:dyDescent="0.25">
      <c r="B31" s="165"/>
      <c r="C31" s="165"/>
      <c r="D31" s="165"/>
      <c r="E31" s="165"/>
      <c r="F31" s="165"/>
      <c r="G31" s="165"/>
      <c r="H31" s="165"/>
      <c r="I31" s="66"/>
      <c r="J31" s="66"/>
      <c r="K31" s="66"/>
      <c r="L31" s="66"/>
      <c r="M31" s="66"/>
      <c r="N31" s="66"/>
      <c r="O31" s="66"/>
    </row>
    <row r="32" spans="2:15" x14ac:dyDescent="0.25">
      <c r="B32" s="165"/>
      <c r="C32" s="165"/>
      <c r="D32" s="165"/>
      <c r="E32" s="165"/>
      <c r="F32" s="165"/>
      <c r="G32" s="165"/>
      <c r="H32" s="165"/>
      <c r="I32" s="66"/>
      <c r="J32" s="66"/>
      <c r="K32" s="66"/>
      <c r="L32" s="66"/>
      <c r="M32" s="66"/>
      <c r="N32" s="66"/>
      <c r="O32" s="66"/>
    </row>
    <row r="33" spans="2:15" x14ac:dyDescent="0.25">
      <c r="B33" s="165"/>
      <c r="C33" s="165"/>
      <c r="D33" s="165"/>
      <c r="E33" s="165"/>
      <c r="F33" s="165"/>
      <c r="G33" s="165"/>
      <c r="H33" s="165"/>
      <c r="I33" s="66"/>
      <c r="J33" s="66"/>
      <c r="K33" s="66"/>
      <c r="L33" s="66"/>
      <c r="M33" s="66"/>
      <c r="N33" s="66"/>
      <c r="O33" s="66"/>
    </row>
    <row r="34" spans="2:15" x14ac:dyDescent="0.25">
      <c r="B34" s="165"/>
      <c r="C34" s="165"/>
      <c r="D34" s="165"/>
      <c r="E34" s="165"/>
      <c r="F34" s="165"/>
      <c r="G34" s="165"/>
      <c r="H34" s="165"/>
      <c r="I34" s="66"/>
      <c r="J34" s="66"/>
      <c r="K34" s="66"/>
      <c r="L34" s="66"/>
      <c r="M34" s="66"/>
      <c r="N34" s="66"/>
      <c r="O34" s="66"/>
    </row>
    <row r="35" spans="2:15" x14ac:dyDescent="0.25">
      <c r="B35" s="165"/>
      <c r="C35" s="165"/>
      <c r="D35" s="165"/>
      <c r="E35" s="165"/>
      <c r="F35" s="165"/>
      <c r="G35" s="165"/>
      <c r="H35" s="165"/>
      <c r="I35" s="66"/>
      <c r="J35" s="66"/>
      <c r="K35" s="66"/>
      <c r="L35" s="66"/>
      <c r="M35" s="66"/>
      <c r="N35" s="66"/>
      <c r="O35" s="66"/>
    </row>
    <row r="36" spans="2:15" x14ac:dyDescent="0.25">
      <c r="B36" s="66"/>
      <c r="C36" s="66"/>
      <c r="D36" s="66"/>
      <c r="E36" s="66"/>
      <c r="F36" s="66"/>
      <c r="G36" s="66"/>
      <c r="H36" s="66"/>
      <c r="I36" s="66"/>
      <c r="J36" s="66"/>
      <c r="K36" s="66"/>
      <c r="L36" s="66"/>
      <c r="M36" s="66"/>
      <c r="N36" s="66"/>
      <c r="O36" s="66"/>
    </row>
    <row r="37" spans="2:15" x14ac:dyDescent="0.25">
      <c r="B37" s="66"/>
      <c r="C37" s="66"/>
      <c r="D37" s="66"/>
      <c r="E37" s="66"/>
      <c r="F37" s="66"/>
      <c r="G37" s="66"/>
      <c r="H37" s="66"/>
      <c r="I37" s="66"/>
      <c r="J37" s="66"/>
      <c r="K37" s="66"/>
      <c r="L37" s="66"/>
      <c r="M37" s="66"/>
      <c r="N37" s="66"/>
      <c r="O37" s="66"/>
    </row>
  </sheetData>
  <mergeCells count="6">
    <mergeCell ref="B2:G4"/>
    <mergeCell ref="B20:H35"/>
    <mergeCell ref="B1:E1"/>
    <mergeCell ref="H12:J15"/>
    <mergeCell ref="I5:J8"/>
    <mergeCell ref="I4:J4"/>
  </mergeCells>
  <pageMargins left="0.7" right="0.7" top="0.75" bottom="0.75" header="0.3" footer="0.3"/>
  <pageSetup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8"/>
  <sheetViews>
    <sheetView zoomScaleNormal="100" workbookViewId="0">
      <selection activeCell="B7" sqref="B7"/>
    </sheetView>
  </sheetViews>
  <sheetFormatPr baseColWidth="10" defaultRowHeight="15" x14ac:dyDescent="0.25"/>
  <cols>
    <col min="8" max="8" width="14.28515625" bestFit="1" customWidth="1"/>
  </cols>
  <sheetData>
    <row r="2" spans="1:15" ht="15.75" x14ac:dyDescent="0.25">
      <c r="A2" s="34" t="s">
        <v>113</v>
      </c>
      <c r="B2" s="176" t="s">
        <v>114</v>
      </c>
      <c r="C2" s="176"/>
      <c r="D2" s="176"/>
      <c r="E2" s="176"/>
      <c r="F2" s="176"/>
      <c r="G2" s="176"/>
      <c r="H2" s="176"/>
    </row>
    <row r="3" spans="1:15" x14ac:dyDescent="0.25">
      <c r="B3" s="176"/>
      <c r="C3" s="176"/>
      <c r="D3" s="176"/>
      <c r="E3" s="176"/>
      <c r="F3" s="176"/>
      <c r="G3" s="176"/>
      <c r="H3" s="176"/>
    </row>
    <row r="4" spans="1:15" x14ac:dyDescent="0.25">
      <c r="B4" s="176"/>
      <c r="C4" s="176"/>
      <c r="D4" s="176"/>
      <c r="E4" s="176"/>
      <c r="F4" s="176"/>
      <c r="G4" s="176"/>
      <c r="H4" s="176"/>
    </row>
    <row r="5" spans="1:15" ht="15.75" thickBot="1" x14ac:dyDescent="0.3"/>
    <row r="6" spans="1:15" ht="15.75" thickBot="1" x14ac:dyDescent="0.3">
      <c r="B6" s="88" t="s">
        <v>84</v>
      </c>
      <c r="C6" s="127">
        <v>0.1</v>
      </c>
      <c r="E6" s="108" t="s">
        <v>115</v>
      </c>
      <c r="F6" s="121">
        <v>10000</v>
      </c>
      <c r="G6" s="142"/>
    </row>
    <row r="7" spans="1:15" ht="15.75" thickBot="1" x14ac:dyDescent="0.3">
      <c r="B7" s="38" t="s">
        <v>109</v>
      </c>
      <c r="C7" s="51">
        <f>PMT(C6,F7,-F6)</f>
        <v>2054.0549970059569</v>
      </c>
      <c r="E7" s="136" t="s">
        <v>74</v>
      </c>
      <c r="F7" s="124">
        <v>7</v>
      </c>
      <c r="G7" s="141"/>
    </row>
    <row r="9" spans="1:15" x14ac:dyDescent="0.25">
      <c r="B9" s="201" t="s">
        <v>121</v>
      </c>
      <c r="C9" s="201"/>
      <c r="D9" s="201"/>
    </row>
    <row r="10" spans="1:15" x14ac:dyDescent="0.25">
      <c r="B10" s="201"/>
      <c r="C10" s="201"/>
      <c r="D10" s="201"/>
    </row>
    <row r="11" spans="1:15" x14ac:dyDescent="0.25">
      <c r="I11" s="210" t="s">
        <v>117</v>
      </c>
      <c r="J11" s="210"/>
      <c r="K11" s="210"/>
      <c r="M11" s="201" t="s">
        <v>119</v>
      </c>
      <c r="N11" s="201"/>
      <c r="O11" s="201"/>
    </row>
    <row r="12" spans="1:15" x14ac:dyDescent="0.25">
      <c r="B12" s="38" t="s">
        <v>116</v>
      </c>
      <c r="C12" s="51">
        <v>2054.0549970059565</v>
      </c>
      <c r="I12" s="210"/>
      <c r="J12" s="210"/>
      <c r="K12" s="210"/>
      <c r="M12" s="201"/>
      <c r="N12" s="201"/>
      <c r="O12" s="201"/>
    </row>
    <row r="14" spans="1:15" x14ac:dyDescent="0.25">
      <c r="B14" s="211" t="s">
        <v>120</v>
      </c>
      <c r="C14" s="211"/>
      <c r="D14" s="211"/>
      <c r="E14" s="211"/>
      <c r="F14" s="211"/>
      <c r="G14" s="137"/>
      <c r="I14" s="165" t="s">
        <v>179</v>
      </c>
      <c r="J14" s="165"/>
      <c r="K14" s="66"/>
      <c r="M14" s="202" t="s">
        <v>118</v>
      </c>
      <c r="N14" s="165"/>
      <c r="O14" s="165"/>
    </row>
    <row r="15" spans="1:15" x14ac:dyDescent="0.25">
      <c r="B15" s="40" t="s">
        <v>74</v>
      </c>
      <c r="C15" s="40" t="s">
        <v>110</v>
      </c>
      <c r="D15" s="40" t="s">
        <v>111</v>
      </c>
      <c r="E15" s="40" t="s">
        <v>47</v>
      </c>
      <c r="F15" s="40" t="s">
        <v>112</v>
      </c>
      <c r="G15" s="138"/>
      <c r="H15" s="143"/>
      <c r="I15" s="212"/>
      <c r="J15" s="212"/>
      <c r="K15" s="143"/>
      <c r="L15" s="66"/>
      <c r="M15" s="202"/>
      <c r="N15" s="165"/>
      <c r="O15" s="165"/>
    </row>
    <row r="16" spans="1:15" x14ac:dyDescent="0.25">
      <c r="B16" s="8">
        <v>0</v>
      </c>
      <c r="C16" s="29"/>
      <c r="D16" s="29"/>
      <c r="E16" s="29"/>
      <c r="F16" s="29">
        <v>10000</v>
      </c>
      <c r="G16" s="139"/>
      <c r="H16" s="143"/>
      <c r="I16" s="212"/>
      <c r="J16" s="212"/>
      <c r="K16" s="143"/>
      <c r="L16" s="66"/>
    </row>
    <row r="17" spans="2:14" x14ac:dyDescent="0.25">
      <c r="B17" s="8">
        <v>1</v>
      </c>
      <c r="C17" s="29">
        <f t="shared" ref="C17:C23" si="0">$C$12</f>
        <v>2054.0549970059565</v>
      </c>
      <c r="D17" s="29">
        <f>C17-E17</f>
        <v>1054.0549970059565</v>
      </c>
      <c r="E17" s="29">
        <f>F16*$C$6</f>
        <v>1000</v>
      </c>
      <c r="F17" s="29">
        <f>F16-D17</f>
        <v>8945.9450029940435</v>
      </c>
      <c r="G17" s="140"/>
      <c r="M17" s="39" t="s">
        <v>109</v>
      </c>
      <c r="N17" s="51">
        <f>(F6*C6*((1+C6)^F7))/(((1+C6)^F7)-1)</f>
        <v>2054.0549970059556</v>
      </c>
    </row>
    <row r="18" spans="2:14" x14ac:dyDescent="0.25">
      <c r="B18" s="8">
        <v>2</v>
      </c>
      <c r="C18" s="29">
        <f t="shared" si="0"/>
        <v>2054.0549970059565</v>
      </c>
      <c r="D18" s="29">
        <f t="shared" ref="D18:D23" si="1">C18-E18</f>
        <v>1159.460496706552</v>
      </c>
      <c r="E18" s="29">
        <f t="shared" ref="E18:E23" si="2">F17*$C$6</f>
        <v>894.59450029940444</v>
      </c>
      <c r="F18" s="29">
        <f t="shared" ref="F18:F23" si="3">F17-D18</f>
        <v>7786.484506287492</v>
      </c>
      <c r="G18" s="140"/>
      <c r="I18" s="180" t="s">
        <v>180</v>
      </c>
      <c r="J18" s="180"/>
      <c r="K18" s="209">
        <f>FV(C6,F7,,-F6)</f>
        <v>19487.171000000013</v>
      </c>
    </row>
    <row r="19" spans="2:14" x14ac:dyDescent="0.25">
      <c r="B19" s="8">
        <v>3</v>
      </c>
      <c r="C19" s="29">
        <f t="shared" si="0"/>
        <v>2054.0549970059565</v>
      </c>
      <c r="D19" s="29">
        <f t="shared" si="1"/>
        <v>1275.4065463772072</v>
      </c>
      <c r="E19" s="29">
        <f t="shared" si="2"/>
        <v>778.64845062874929</v>
      </c>
      <c r="F19" s="29">
        <f t="shared" si="3"/>
        <v>6511.0779599102843</v>
      </c>
      <c r="G19" s="140"/>
      <c r="I19" s="180"/>
      <c r="J19" s="180"/>
      <c r="K19" s="209"/>
    </row>
    <row r="20" spans="2:14" x14ac:dyDescent="0.25">
      <c r="B20" s="8">
        <v>4</v>
      </c>
      <c r="C20" s="29">
        <f t="shared" si="0"/>
        <v>2054.0549970059565</v>
      </c>
      <c r="D20" s="29">
        <f t="shared" si="1"/>
        <v>1402.9472010149279</v>
      </c>
      <c r="E20" s="29">
        <f t="shared" si="2"/>
        <v>651.10779599102852</v>
      </c>
      <c r="F20" s="29">
        <f t="shared" si="3"/>
        <v>5108.1307588953568</v>
      </c>
      <c r="G20" s="140"/>
      <c r="H20" s="73"/>
      <c r="I20" s="73"/>
    </row>
    <row r="21" spans="2:14" x14ac:dyDescent="0.25">
      <c r="B21" s="8">
        <v>5</v>
      </c>
      <c r="C21" s="29">
        <f t="shared" si="0"/>
        <v>2054.0549970059565</v>
      </c>
      <c r="D21" s="29">
        <f t="shared" si="1"/>
        <v>1543.2419211164208</v>
      </c>
      <c r="E21" s="29">
        <f t="shared" si="2"/>
        <v>510.8130758895357</v>
      </c>
      <c r="F21" s="29">
        <f t="shared" si="3"/>
        <v>3564.8888377789362</v>
      </c>
      <c r="G21" s="140"/>
      <c r="H21" s="72"/>
      <c r="I21" s="145" t="s">
        <v>109</v>
      </c>
      <c r="J21" s="51">
        <f>K18*(C6/(((1+C6)^F7)-1))</f>
        <v>2054.0549970059556</v>
      </c>
    </row>
    <row r="22" spans="2:14" x14ac:dyDescent="0.25">
      <c r="B22" s="8">
        <v>6</v>
      </c>
      <c r="C22" s="29">
        <f t="shared" si="0"/>
        <v>2054.0549970059565</v>
      </c>
      <c r="D22" s="29">
        <f t="shared" si="1"/>
        <v>1697.5661132280629</v>
      </c>
      <c r="E22" s="29">
        <f t="shared" si="2"/>
        <v>356.48888377789365</v>
      </c>
      <c r="F22" s="29">
        <f t="shared" si="3"/>
        <v>1867.3227245508733</v>
      </c>
      <c r="G22" s="140"/>
      <c r="H22" s="72"/>
      <c r="I22" s="146"/>
      <c r="J22" s="104"/>
    </row>
    <row r="23" spans="2:14" x14ac:dyDescent="0.25">
      <c r="B23" s="8">
        <v>7</v>
      </c>
      <c r="C23" s="29">
        <f t="shared" si="0"/>
        <v>2054.0549970059565</v>
      </c>
      <c r="D23" s="29">
        <f t="shared" si="1"/>
        <v>1867.3227245508692</v>
      </c>
      <c r="E23" s="29">
        <f t="shared" si="2"/>
        <v>186.73227245508735</v>
      </c>
      <c r="F23" s="29">
        <f t="shared" si="3"/>
        <v>4.0927261579781771E-12</v>
      </c>
      <c r="G23" s="140"/>
      <c r="H23" s="72"/>
      <c r="I23" s="146"/>
      <c r="J23" s="104"/>
    </row>
    <row r="24" spans="2:14" x14ac:dyDescent="0.25">
      <c r="B24" s="137"/>
      <c r="C24" s="140"/>
      <c r="D24" s="140"/>
      <c r="E24" s="140"/>
      <c r="F24" s="140"/>
      <c r="G24" s="140"/>
      <c r="H24" s="72"/>
      <c r="I24" s="146"/>
      <c r="J24" s="104"/>
    </row>
    <row r="25" spans="2:14" x14ac:dyDescent="0.25">
      <c r="B25" s="137"/>
      <c r="C25" s="140"/>
      <c r="D25" s="140"/>
      <c r="E25" s="140"/>
      <c r="F25" s="140"/>
      <c r="G25" s="140"/>
      <c r="H25" s="72"/>
      <c r="I25" s="146"/>
      <c r="J25" s="104"/>
    </row>
    <row r="26" spans="2:14" x14ac:dyDescent="0.25">
      <c r="B26" s="137"/>
      <c r="C26" s="140"/>
      <c r="D26" s="140"/>
      <c r="E26" s="140"/>
      <c r="F26" s="140"/>
      <c r="G26" s="140"/>
      <c r="H26" s="72"/>
      <c r="I26" s="146"/>
      <c r="J26" s="104"/>
    </row>
    <row r="27" spans="2:14" x14ac:dyDescent="0.25">
      <c r="B27" s="137"/>
      <c r="C27" s="140"/>
      <c r="D27" s="140"/>
      <c r="E27" s="140"/>
      <c r="F27" s="140"/>
      <c r="G27" s="140"/>
      <c r="H27" s="72"/>
      <c r="I27" s="146"/>
      <c r="J27" s="104"/>
    </row>
    <row r="28" spans="2:14" x14ac:dyDescent="0.25">
      <c r="B28" s="137"/>
      <c r="C28" s="140"/>
      <c r="D28" s="140"/>
      <c r="E28" s="140"/>
      <c r="F28" s="140"/>
      <c r="G28" s="140"/>
      <c r="H28" s="72"/>
      <c r="I28" s="147"/>
      <c r="J28" s="128"/>
    </row>
    <row r="29" spans="2:14" x14ac:dyDescent="0.25">
      <c r="B29" s="137"/>
      <c r="C29" s="140"/>
      <c r="D29" s="140"/>
      <c r="E29" s="140"/>
      <c r="F29" s="140"/>
      <c r="G29" s="140"/>
    </row>
    <row r="31" spans="2:14" x14ac:dyDescent="0.25">
      <c r="B31" s="165"/>
      <c r="C31" s="165"/>
      <c r="D31" s="165"/>
      <c r="E31" s="165"/>
      <c r="F31" s="165"/>
      <c r="G31" s="165"/>
      <c r="H31" s="165"/>
      <c r="I31" s="165"/>
      <c r="J31" s="165"/>
      <c r="K31" s="165"/>
    </row>
    <row r="32" spans="2:14" x14ac:dyDescent="0.25">
      <c r="B32" s="165"/>
      <c r="C32" s="165"/>
      <c r="D32" s="165"/>
      <c r="E32" s="165"/>
      <c r="F32" s="165"/>
      <c r="G32" s="165"/>
      <c r="H32" s="165"/>
      <c r="I32" s="165"/>
      <c r="J32" s="165"/>
      <c r="K32" s="165"/>
    </row>
    <row r="33" spans="2:11" x14ac:dyDescent="0.25">
      <c r="B33" s="165"/>
      <c r="C33" s="165"/>
      <c r="D33" s="165"/>
      <c r="E33" s="165"/>
      <c r="F33" s="165"/>
      <c r="G33" s="165"/>
      <c r="H33" s="165"/>
      <c r="I33" s="165"/>
      <c r="J33" s="165"/>
      <c r="K33" s="165"/>
    </row>
    <row r="34" spans="2:11" x14ac:dyDescent="0.25">
      <c r="B34" s="165"/>
      <c r="C34" s="165"/>
      <c r="D34" s="165"/>
      <c r="E34" s="165"/>
      <c r="F34" s="165"/>
      <c r="G34" s="165"/>
      <c r="H34" s="165"/>
      <c r="I34" s="165"/>
      <c r="J34" s="165"/>
      <c r="K34" s="165"/>
    </row>
    <row r="35" spans="2:11" x14ac:dyDescent="0.25">
      <c r="B35" s="165"/>
      <c r="C35" s="165"/>
      <c r="D35" s="165"/>
      <c r="E35" s="165"/>
      <c r="F35" s="165"/>
      <c r="G35" s="165"/>
      <c r="H35" s="165"/>
      <c r="I35" s="165"/>
      <c r="J35" s="165"/>
      <c r="K35" s="165"/>
    </row>
    <row r="36" spans="2:11" x14ac:dyDescent="0.25">
      <c r="B36" s="165"/>
      <c r="C36" s="165"/>
      <c r="D36" s="165"/>
      <c r="E36" s="165"/>
      <c r="F36" s="165"/>
      <c r="G36" s="165"/>
      <c r="H36" s="165"/>
      <c r="I36" s="165"/>
      <c r="J36" s="165"/>
      <c r="K36" s="165"/>
    </row>
    <row r="37" spans="2:11" x14ac:dyDescent="0.25">
      <c r="B37" s="165"/>
      <c r="C37" s="165"/>
      <c r="D37" s="165"/>
      <c r="E37" s="165"/>
      <c r="F37" s="165"/>
      <c r="G37" s="165"/>
      <c r="H37" s="165"/>
      <c r="I37" s="165"/>
      <c r="J37" s="165"/>
      <c r="K37" s="165"/>
    </row>
    <row r="38" spans="2:11" x14ac:dyDescent="0.25">
      <c r="B38" s="165"/>
      <c r="C38" s="165"/>
      <c r="D38" s="165"/>
      <c r="E38" s="165"/>
      <c r="F38" s="165"/>
      <c r="G38" s="165"/>
      <c r="H38" s="165"/>
      <c r="I38" s="165"/>
      <c r="J38" s="165"/>
      <c r="K38" s="165"/>
    </row>
    <row r="39" spans="2:11" x14ac:dyDescent="0.25">
      <c r="B39" s="165"/>
      <c r="C39" s="165"/>
      <c r="D39" s="165"/>
      <c r="E39" s="165"/>
      <c r="F39" s="165"/>
      <c r="G39" s="165"/>
      <c r="H39" s="165"/>
      <c r="I39" s="165"/>
      <c r="J39" s="165"/>
      <c r="K39" s="165"/>
    </row>
    <row r="40" spans="2:11" x14ac:dyDescent="0.25">
      <c r="B40" s="165"/>
      <c r="C40" s="165"/>
      <c r="D40" s="165"/>
      <c r="E40" s="165"/>
      <c r="F40" s="165"/>
      <c r="G40" s="165"/>
      <c r="H40" s="165"/>
      <c r="I40" s="165"/>
      <c r="J40" s="165"/>
      <c r="K40" s="165"/>
    </row>
    <row r="41" spans="2:11" x14ac:dyDescent="0.25">
      <c r="B41" s="165"/>
      <c r="C41" s="165"/>
      <c r="D41" s="165"/>
      <c r="E41" s="165"/>
      <c r="F41" s="165"/>
      <c r="G41" s="165"/>
      <c r="H41" s="165"/>
      <c r="I41" s="165"/>
      <c r="J41" s="165"/>
      <c r="K41" s="165"/>
    </row>
    <row r="42" spans="2:11" x14ac:dyDescent="0.25">
      <c r="B42" s="165"/>
      <c r="C42" s="165"/>
      <c r="D42" s="165"/>
      <c r="E42" s="165"/>
      <c r="F42" s="165"/>
      <c r="G42" s="165"/>
      <c r="H42" s="165"/>
      <c r="I42" s="165"/>
      <c r="J42" s="165"/>
      <c r="K42" s="165"/>
    </row>
    <row r="43" spans="2:11" x14ac:dyDescent="0.25">
      <c r="B43" s="165"/>
      <c r="C43" s="165"/>
      <c r="D43" s="165"/>
      <c r="E43" s="165"/>
      <c r="F43" s="165"/>
      <c r="G43" s="165"/>
      <c r="H43" s="165"/>
      <c r="I43" s="165"/>
      <c r="J43" s="165"/>
      <c r="K43" s="165"/>
    </row>
    <row r="44" spans="2:11" x14ac:dyDescent="0.25">
      <c r="B44" s="165"/>
      <c r="C44" s="165"/>
      <c r="D44" s="165"/>
      <c r="E44" s="165"/>
      <c r="F44" s="165"/>
      <c r="G44" s="165"/>
      <c r="H44" s="165"/>
      <c r="I44" s="165"/>
      <c r="J44" s="165"/>
      <c r="K44" s="165"/>
    </row>
    <row r="45" spans="2:11" x14ac:dyDescent="0.25">
      <c r="B45" s="165"/>
      <c r="C45" s="165"/>
      <c r="D45" s="165"/>
      <c r="E45" s="165"/>
      <c r="F45" s="165"/>
      <c r="G45" s="165"/>
      <c r="H45" s="165"/>
      <c r="I45" s="165"/>
      <c r="J45" s="165"/>
      <c r="K45" s="165"/>
    </row>
    <row r="46" spans="2:11" x14ac:dyDescent="0.25">
      <c r="B46" s="165"/>
      <c r="C46" s="165"/>
      <c r="D46" s="165"/>
      <c r="E46" s="165"/>
      <c r="F46" s="165"/>
      <c r="G46" s="165"/>
      <c r="H46" s="165"/>
      <c r="I46" s="165"/>
      <c r="J46" s="165"/>
      <c r="K46" s="165"/>
    </row>
    <row r="47" spans="2:11" x14ac:dyDescent="0.25">
      <c r="B47" s="165"/>
      <c r="C47" s="165"/>
      <c r="D47" s="165"/>
      <c r="E47" s="165"/>
      <c r="F47" s="165"/>
      <c r="G47" s="165"/>
      <c r="H47" s="165"/>
      <c r="I47" s="165"/>
      <c r="J47" s="165"/>
      <c r="K47" s="165"/>
    </row>
    <row r="48" spans="2:11" x14ac:dyDescent="0.25">
      <c r="B48" s="165"/>
      <c r="C48" s="165"/>
      <c r="D48" s="165"/>
      <c r="E48" s="165"/>
      <c r="F48" s="165"/>
      <c r="G48" s="165"/>
      <c r="H48" s="165"/>
      <c r="I48" s="165"/>
      <c r="J48" s="165"/>
      <c r="K48" s="165"/>
    </row>
  </sheetData>
  <mergeCells count="12">
    <mergeCell ref="N14:O15"/>
    <mergeCell ref="M14:M15"/>
    <mergeCell ref="M11:O12"/>
    <mergeCell ref="B14:F14"/>
    <mergeCell ref="B9:D10"/>
    <mergeCell ref="I15:J16"/>
    <mergeCell ref="I14:J14"/>
    <mergeCell ref="I18:J19"/>
    <mergeCell ref="K18:K19"/>
    <mergeCell ref="B31:K48"/>
    <mergeCell ref="B2:H4"/>
    <mergeCell ref="I11:K12"/>
  </mergeCells>
  <pageMargins left="0.7" right="0.7" top="0.75" bottom="0.75" header="0.3" footer="0.3"/>
  <pageSetup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H14" sqref="H14"/>
    </sheetView>
  </sheetViews>
  <sheetFormatPr baseColWidth="10" defaultRowHeight="15" x14ac:dyDescent="0.25"/>
  <cols>
    <col min="5" max="5" width="15" customWidth="1"/>
  </cols>
  <sheetData>
    <row r="2" spans="1:10" ht="15.75" x14ac:dyDescent="0.25">
      <c r="A2" s="34" t="s">
        <v>122</v>
      </c>
      <c r="B2" s="176" t="s">
        <v>123</v>
      </c>
      <c r="C2" s="176"/>
      <c r="D2" s="176"/>
      <c r="E2" s="176"/>
      <c r="F2" s="176"/>
      <c r="G2" s="176"/>
      <c r="H2" s="176"/>
    </row>
    <row r="3" spans="1:10" x14ac:dyDescent="0.25">
      <c r="B3" s="176"/>
      <c r="C3" s="176"/>
      <c r="D3" s="176"/>
      <c r="E3" s="176"/>
      <c r="F3" s="176"/>
      <c r="G3" s="176"/>
      <c r="H3" s="176"/>
    </row>
    <row r="4" spans="1:10" x14ac:dyDescent="0.25">
      <c r="B4" s="176"/>
      <c r="C4" s="176"/>
      <c r="D4" s="176"/>
      <c r="E4" s="176"/>
      <c r="F4" s="176"/>
      <c r="G4" s="176"/>
      <c r="H4" s="176"/>
    </row>
    <row r="5" spans="1:10" x14ac:dyDescent="0.25">
      <c r="B5" s="176"/>
      <c r="C5" s="176"/>
      <c r="D5" s="176"/>
      <c r="E5" s="176"/>
      <c r="F5" s="176"/>
      <c r="G5" s="176"/>
      <c r="H5" s="176"/>
    </row>
    <row r="6" spans="1:10" ht="15.75" thickBot="1" x14ac:dyDescent="0.3"/>
    <row r="7" spans="1:10" ht="15.75" thickBot="1" x14ac:dyDescent="0.3">
      <c r="B7" s="123" t="s">
        <v>84</v>
      </c>
      <c r="C7" s="132">
        <v>0.05</v>
      </c>
      <c r="E7" s="120" t="s">
        <v>126</v>
      </c>
      <c r="F7" s="151">
        <v>9282.57</v>
      </c>
    </row>
    <row r="8" spans="1:10" ht="15" customHeight="1" thickBot="1" x14ac:dyDescent="0.3">
      <c r="B8" s="122" t="s">
        <v>110</v>
      </c>
      <c r="C8" s="126">
        <v>500</v>
      </c>
      <c r="H8" s="201" t="s">
        <v>128</v>
      </c>
      <c r="I8" s="201"/>
      <c r="J8" s="42"/>
    </row>
    <row r="9" spans="1:10" x14ac:dyDescent="0.25">
      <c r="H9" s="201"/>
      <c r="I9" s="201"/>
      <c r="J9" s="42"/>
    </row>
    <row r="10" spans="1:10" x14ac:dyDescent="0.25">
      <c r="B10" s="75" t="s">
        <v>31</v>
      </c>
      <c r="C10" s="152" t="s">
        <v>110</v>
      </c>
      <c r="D10" s="152" t="s">
        <v>111</v>
      </c>
      <c r="E10" s="152" t="s">
        <v>47</v>
      </c>
      <c r="F10" s="152" t="s">
        <v>112</v>
      </c>
    </row>
    <row r="11" spans="1:10" x14ac:dyDescent="0.25">
      <c r="B11" s="75" t="s">
        <v>124</v>
      </c>
      <c r="C11" s="44"/>
      <c r="D11" s="44"/>
      <c r="E11" s="149"/>
      <c r="F11" s="130">
        <f>I11</f>
        <v>9316.7333333333336</v>
      </c>
      <c r="H11" s="73" t="s">
        <v>181</v>
      </c>
      <c r="I11" s="148">
        <v>9316.7333333333336</v>
      </c>
    </row>
    <row r="12" spans="1:10" x14ac:dyDescent="0.25">
      <c r="B12" s="75" t="s">
        <v>127</v>
      </c>
      <c r="C12" s="44">
        <f>$C$8</f>
        <v>500</v>
      </c>
      <c r="D12" s="150">
        <f>C12-E12</f>
        <v>34.163333333333298</v>
      </c>
      <c r="E12" s="149">
        <f>F11*C7</f>
        <v>465.8366666666667</v>
      </c>
      <c r="F12" s="130">
        <f>F11-D12</f>
        <v>9282.57</v>
      </c>
      <c r="H12" s="73" t="s">
        <v>182</v>
      </c>
      <c r="I12" s="148">
        <v>9246.7000000000007</v>
      </c>
    </row>
    <row r="13" spans="1:10" x14ac:dyDescent="0.25">
      <c r="B13" s="75" t="s">
        <v>125</v>
      </c>
      <c r="C13" s="44">
        <f>$C$8</f>
        <v>500</v>
      </c>
      <c r="D13" s="44">
        <f>C13-E13</f>
        <v>35.871499999999969</v>
      </c>
      <c r="E13" s="149">
        <f>F12*$C$7</f>
        <v>464.12850000000003</v>
      </c>
      <c r="F13" s="130">
        <f>F12-D13</f>
        <v>9246.6985000000004</v>
      </c>
    </row>
  </sheetData>
  <mergeCells count="2">
    <mergeCell ref="B2:H5"/>
    <mergeCell ref="H8:I9"/>
  </mergeCells>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topLeftCell="A2" workbookViewId="0">
      <selection activeCell="H7" sqref="H7"/>
    </sheetView>
  </sheetViews>
  <sheetFormatPr baseColWidth="10" defaultRowHeight="15" x14ac:dyDescent="0.25"/>
  <cols>
    <col min="5" max="5" width="12.28515625" bestFit="1" customWidth="1"/>
    <col min="6" max="6" width="11.85546875" bestFit="1" customWidth="1"/>
  </cols>
  <sheetData>
    <row r="2" spans="1:13" ht="15.75" customHeight="1" x14ac:dyDescent="0.25">
      <c r="A2" s="34" t="s">
        <v>129</v>
      </c>
      <c r="B2" s="176" t="s">
        <v>130</v>
      </c>
      <c r="C2" s="176"/>
      <c r="D2" s="176"/>
      <c r="E2" s="176"/>
      <c r="F2" s="176"/>
      <c r="G2" s="176"/>
      <c r="H2" s="176"/>
      <c r="I2" s="42"/>
      <c r="J2" s="42"/>
    </row>
    <row r="3" spans="1:13" x14ac:dyDescent="0.25">
      <c r="B3" s="176"/>
      <c r="C3" s="176"/>
      <c r="D3" s="176"/>
      <c r="E3" s="176"/>
      <c r="F3" s="176"/>
      <c r="G3" s="176"/>
      <c r="H3" s="176"/>
      <c r="I3" s="42"/>
      <c r="J3" s="42"/>
    </row>
    <row r="4" spans="1:13" x14ac:dyDescent="0.25">
      <c r="B4" s="176"/>
      <c r="C4" s="176"/>
      <c r="D4" s="176"/>
      <c r="E4" s="176"/>
      <c r="F4" s="176"/>
      <c r="G4" s="176"/>
      <c r="H4" s="176"/>
      <c r="I4" s="42"/>
      <c r="J4" s="42"/>
    </row>
    <row r="5" spans="1:13" ht="15.75" thickBot="1" x14ac:dyDescent="0.3">
      <c r="B5" s="42"/>
      <c r="C5" s="42"/>
      <c r="D5" s="42"/>
      <c r="E5" s="42"/>
      <c r="F5" s="42"/>
      <c r="G5" s="42"/>
      <c r="H5" s="42"/>
      <c r="I5" s="42"/>
      <c r="J5" s="42"/>
    </row>
    <row r="6" spans="1:13" ht="15.75" thickBot="1" x14ac:dyDescent="0.3">
      <c r="B6" s="134" t="s">
        <v>31</v>
      </c>
      <c r="C6" s="109">
        <v>8</v>
      </c>
      <c r="D6" s="53"/>
      <c r="E6" s="135" t="s">
        <v>84</v>
      </c>
      <c r="F6" s="153">
        <v>0.12</v>
      </c>
    </row>
    <row r="7" spans="1:13" x14ac:dyDescent="0.25">
      <c r="B7" s="53" t="s">
        <v>133</v>
      </c>
      <c r="C7" s="65">
        <v>1164.7806569171619</v>
      </c>
      <c r="D7" s="53"/>
      <c r="E7" s="53"/>
      <c r="F7" s="53"/>
    </row>
    <row r="9" spans="1:13" x14ac:dyDescent="0.25">
      <c r="B9" s="54" t="s">
        <v>31</v>
      </c>
      <c r="C9" s="54" t="s">
        <v>131</v>
      </c>
      <c r="D9" s="54" t="s">
        <v>132</v>
      </c>
      <c r="E9" s="54" t="s">
        <v>82</v>
      </c>
      <c r="F9" s="54" t="s">
        <v>83</v>
      </c>
      <c r="H9" s="176"/>
      <c r="I9" s="176"/>
      <c r="J9" s="176"/>
      <c r="K9" s="176"/>
      <c r="L9" s="42"/>
      <c r="M9" s="42"/>
    </row>
    <row r="10" spans="1:13" x14ac:dyDescent="0.25">
      <c r="B10" s="56">
        <v>0</v>
      </c>
      <c r="C10" s="56"/>
      <c r="D10" s="56"/>
      <c r="E10" s="56"/>
      <c r="F10" s="59">
        <f>PV($F$6,B10,,-E10)</f>
        <v>0</v>
      </c>
      <c r="H10" s="176"/>
      <c r="I10" s="176"/>
      <c r="J10" s="176"/>
      <c r="K10" s="176"/>
      <c r="L10" s="42"/>
      <c r="M10" s="42"/>
    </row>
    <row r="11" spans="1:13" x14ac:dyDescent="0.25">
      <c r="B11" s="56">
        <v>1</v>
      </c>
      <c r="C11" s="56"/>
      <c r="D11" s="56">
        <v>800</v>
      </c>
      <c r="E11" s="56">
        <f>D11-C11</f>
        <v>800</v>
      </c>
      <c r="F11" s="59">
        <f t="shared" ref="F11:F18" si="0">PV($F$6,B11,,-E11)</f>
        <v>714.28571428571422</v>
      </c>
      <c r="H11" s="176"/>
      <c r="I11" s="176"/>
      <c r="J11" s="176"/>
      <c r="K11" s="176"/>
      <c r="L11" s="42"/>
      <c r="M11" s="42"/>
    </row>
    <row r="12" spans="1:13" x14ac:dyDescent="0.25">
      <c r="B12" s="56">
        <v>2</v>
      </c>
      <c r="C12" s="47">
        <f>$C$7</f>
        <v>1164.7806569171619</v>
      </c>
      <c r="D12" s="56">
        <v>800</v>
      </c>
      <c r="E12" s="47">
        <f t="shared" ref="E12:E18" si="1">D12-C12</f>
        <v>-364.78065691716188</v>
      </c>
      <c r="F12" s="59">
        <f t="shared" si="0"/>
        <v>-290.8009063434007</v>
      </c>
      <c r="H12" s="176"/>
      <c r="I12" s="176"/>
      <c r="J12" s="176"/>
      <c r="K12" s="176"/>
      <c r="L12" s="42"/>
      <c r="M12" s="42"/>
    </row>
    <row r="13" spans="1:13" x14ac:dyDescent="0.25">
      <c r="B13" s="56">
        <v>3</v>
      </c>
      <c r="C13" s="47">
        <f t="shared" ref="C13:C18" si="2">$C$7</f>
        <v>1164.7806569171619</v>
      </c>
      <c r="D13" s="56">
        <v>800</v>
      </c>
      <c r="E13" s="47">
        <f t="shared" si="1"/>
        <v>-364.78065691716188</v>
      </c>
      <c r="F13" s="59">
        <f t="shared" si="0"/>
        <v>-259.6436663780363</v>
      </c>
      <c r="H13" s="176"/>
      <c r="I13" s="176"/>
      <c r="J13" s="176"/>
      <c r="K13" s="176"/>
      <c r="L13" s="42"/>
      <c r="M13" s="42"/>
    </row>
    <row r="14" spans="1:13" x14ac:dyDescent="0.25">
      <c r="B14" s="56">
        <v>4</v>
      </c>
      <c r="C14" s="47">
        <f t="shared" si="2"/>
        <v>1164.7806569171619</v>
      </c>
      <c r="D14" s="56">
        <v>800</v>
      </c>
      <c r="E14" s="47">
        <f t="shared" si="1"/>
        <v>-364.78065691716188</v>
      </c>
      <c r="F14" s="59">
        <f t="shared" si="0"/>
        <v>-231.82470212324671</v>
      </c>
      <c r="H14" s="176"/>
      <c r="I14" s="176"/>
      <c r="J14" s="176"/>
      <c r="K14" s="176"/>
      <c r="L14" s="42"/>
      <c r="M14" s="42"/>
    </row>
    <row r="15" spans="1:13" x14ac:dyDescent="0.25">
      <c r="B15" s="56">
        <v>5</v>
      </c>
      <c r="C15" s="47">
        <f t="shared" si="2"/>
        <v>1164.7806569171619</v>
      </c>
      <c r="D15" s="56">
        <v>1200</v>
      </c>
      <c r="E15" s="47">
        <f t="shared" si="1"/>
        <v>35.219343082838122</v>
      </c>
      <c r="F15" s="59">
        <f t="shared" si="0"/>
        <v>19.984401105969432</v>
      </c>
      <c r="H15" s="176"/>
      <c r="I15" s="176"/>
      <c r="J15" s="176"/>
      <c r="K15" s="176"/>
      <c r="L15" s="42"/>
      <c r="M15" s="42"/>
    </row>
    <row r="16" spans="1:13" x14ac:dyDescent="0.25">
      <c r="B16" s="56">
        <v>6</v>
      </c>
      <c r="C16" s="47">
        <f t="shared" si="2"/>
        <v>1164.7806569171619</v>
      </c>
      <c r="D16" s="56">
        <v>1200</v>
      </c>
      <c r="E16" s="47">
        <f t="shared" si="1"/>
        <v>35.219343082838122</v>
      </c>
      <c r="F16" s="59">
        <f t="shared" si="0"/>
        <v>17.843215273186992</v>
      </c>
      <c r="H16" s="176"/>
      <c r="I16" s="176"/>
      <c r="J16" s="176"/>
      <c r="K16" s="176"/>
      <c r="L16" s="42"/>
      <c r="M16" s="42"/>
    </row>
    <row r="17" spans="2:13" x14ac:dyDescent="0.25">
      <c r="B17" s="56">
        <v>7</v>
      </c>
      <c r="C17" s="47">
        <f t="shared" si="2"/>
        <v>1164.7806569171619</v>
      </c>
      <c r="D17" s="56">
        <v>1200</v>
      </c>
      <c r="E17" s="47">
        <f t="shared" si="1"/>
        <v>35.219343082838122</v>
      </c>
      <c r="F17" s="59">
        <f t="shared" si="0"/>
        <v>15.93144220820267</v>
      </c>
      <c r="H17" s="176"/>
      <c r="I17" s="176"/>
      <c r="J17" s="176"/>
      <c r="K17" s="176"/>
      <c r="L17" s="42"/>
      <c r="M17" s="42"/>
    </row>
    <row r="18" spans="2:13" x14ac:dyDescent="0.25">
      <c r="B18" s="61">
        <v>8</v>
      </c>
      <c r="C18" s="62">
        <f t="shared" si="2"/>
        <v>1164.7806569171619</v>
      </c>
      <c r="D18" s="61">
        <v>1200</v>
      </c>
      <c r="E18" s="62">
        <f t="shared" si="1"/>
        <v>35.219343082838122</v>
      </c>
      <c r="F18" s="59">
        <f t="shared" si="0"/>
        <v>14.224501971609527</v>
      </c>
    </row>
    <row r="19" spans="2:13" x14ac:dyDescent="0.25">
      <c r="B19" s="63"/>
      <c r="C19" s="63"/>
      <c r="D19" s="63"/>
      <c r="E19" s="64"/>
      <c r="F19" s="60">
        <f>SUM(F10:F18)</f>
        <v>-8.6508578078792198E-13</v>
      </c>
    </row>
    <row r="21" spans="2:13" x14ac:dyDescent="0.25">
      <c r="B21" s="164" t="s">
        <v>183</v>
      </c>
      <c r="C21" s="164"/>
      <c r="D21" s="164"/>
      <c r="E21" s="164"/>
    </row>
    <row r="22" spans="2:13" x14ac:dyDescent="0.25">
      <c r="B22" s="164"/>
      <c r="C22" s="164"/>
      <c r="D22" s="164"/>
      <c r="E22" s="164"/>
    </row>
    <row r="23" spans="2:13" x14ac:dyDescent="0.25">
      <c r="B23" s="164"/>
      <c r="C23" s="164"/>
      <c r="D23" s="164"/>
      <c r="E23" s="164"/>
    </row>
  </sheetData>
  <mergeCells count="3">
    <mergeCell ref="B2:H4"/>
    <mergeCell ref="H9:K17"/>
    <mergeCell ref="B21:E23"/>
  </mergeCells>
  <pageMargins left="0.7" right="0.7" top="0.75" bottom="0.75" header="0.3" footer="0.3"/>
  <pageSetup orientation="portrait" horizontalDpi="360" verticalDpi="36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J15" sqref="J15"/>
    </sheetView>
  </sheetViews>
  <sheetFormatPr baseColWidth="10" defaultRowHeight="15" x14ac:dyDescent="0.25"/>
  <cols>
    <col min="7" max="7" width="13.85546875" bestFit="1" customWidth="1"/>
    <col min="10" max="10" width="13.85546875" bestFit="1" customWidth="1"/>
  </cols>
  <sheetData>
    <row r="2" spans="1:13" ht="15.75" customHeight="1" x14ac:dyDescent="0.25">
      <c r="A2" s="34" t="s">
        <v>140</v>
      </c>
      <c r="B2" s="176" t="s">
        <v>134</v>
      </c>
      <c r="C2" s="176"/>
      <c r="D2" s="176"/>
      <c r="E2" s="176"/>
      <c r="F2" s="176"/>
    </row>
    <row r="3" spans="1:13" x14ac:dyDescent="0.25">
      <c r="B3" s="176"/>
      <c r="C3" s="176"/>
      <c r="D3" s="176"/>
      <c r="E3" s="176"/>
      <c r="F3" s="176"/>
    </row>
    <row r="5" spans="1:13" ht="15" customHeight="1" x14ac:dyDescent="0.25">
      <c r="B5" s="192" t="s">
        <v>135</v>
      </c>
      <c r="C5" s="192"/>
      <c r="D5" s="192"/>
      <c r="E5" s="192"/>
      <c r="F5" s="67"/>
      <c r="I5" s="192" t="s">
        <v>137</v>
      </c>
      <c r="J5" s="192"/>
      <c r="K5" s="192"/>
      <c r="L5" s="192"/>
      <c r="M5" s="192"/>
    </row>
    <row r="6" spans="1:13" x14ac:dyDescent="0.25">
      <c r="B6" s="192"/>
      <c r="C6" s="192"/>
      <c r="D6" s="192"/>
      <c r="E6" s="192"/>
      <c r="F6" s="27"/>
      <c r="I6" s="192"/>
      <c r="J6" s="192"/>
      <c r="K6" s="192"/>
      <c r="L6" s="192"/>
      <c r="M6" s="192"/>
    </row>
    <row r="7" spans="1:13" x14ac:dyDescent="0.25">
      <c r="B7" s="192"/>
      <c r="C7" s="192"/>
      <c r="D7" s="192"/>
      <c r="E7" s="192"/>
      <c r="I7" s="192"/>
      <c r="J7" s="192"/>
      <c r="K7" s="192"/>
      <c r="L7" s="192"/>
      <c r="M7" s="192"/>
    </row>
    <row r="8" spans="1:13" ht="15.75" thickBot="1" x14ac:dyDescent="0.3"/>
    <row r="9" spans="1:13" ht="15.75" thickBot="1" x14ac:dyDescent="0.3">
      <c r="B9" s="155" t="s">
        <v>84</v>
      </c>
      <c r="C9" s="156">
        <v>1.9E-2</v>
      </c>
      <c r="E9" s="110" t="s">
        <v>72</v>
      </c>
      <c r="F9" s="102">
        <v>1800000</v>
      </c>
      <c r="I9" s="157" t="s">
        <v>72</v>
      </c>
      <c r="J9" s="158">
        <v>1800000</v>
      </c>
    </row>
    <row r="10" spans="1:13" ht="15.75" thickBot="1" x14ac:dyDescent="0.3">
      <c r="B10" s="136" t="s">
        <v>136</v>
      </c>
      <c r="C10" s="154">
        <v>6</v>
      </c>
      <c r="E10" s="86" t="s">
        <v>109</v>
      </c>
      <c r="F10" s="90">
        <v>320262.8433265317</v>
      </c>
      <c r="I10" s="88" t="s">
        <v>84</v>
      </c>
      <c r="J10" s="127">
        <v>0.12</v>
      </c>
    </row>
    <row r="12" spans="1:13" x14ac:dyDescent="0.25">
      <c r="B12" s="57" t="s">
        <v>136</v>
      </c>
      <c r="C12" s="57" t="s">
        <v>110</v>
      </c>
      <c r="D12" s="57" t="s">
        <v>111</v>
      </c>
      <c r="E12" s="57" t="s">
        <v>47</v>
      </c>
      <c r="F12" s="57" t="s">
        <v>112</v>
      </c>
      <c r="G12" s="70" t="s">
        <v>139</v>
      </c>
      <c r="I12" s="69" t="s">
        <v>14</v>
      </c>
      <c r="J12" s="51">
        <f>J9+(J9*J10)</f>
        <v>2016000</v>
      </c>
    </row>
    <row r="13" spans="1:13" x14ac:dyDescent="0.25">
      <c r="B13" s="58">
        <v>0</v>
      </c>
      <c r="C13" s="12"/>
      <c r="D13" s="12"/>
      <c r="E13" s="12"/>
      <c r="F13" s="12">
        <v>1800000</v>
      </c>
      <c r="G13" s="44"/>
      <c r="J13" s="128"/>
    </row>
    <row r="14" spans="1:13" x14ac:dyDescent="0.25">
      <c r="B14" s="58">
        <v>1</v>
      </c>
      <c r="C14" s="12">
        <f>$F$10</f>
        <v>320262.8433265317</v>
      </c>
      <c r="D14" s="12">
        <f>C14-E14</f>
        <v>286062.8433265317</v>
      </c>
      <c r="E14" s="12">
        <f>F13*$C$9</f>
        <v>34200</v>
      </c>
      <c r="F14" s="12">
        <f>F13-D14</f>
        <v>1513937.1566734682</v>
      </c>
      <c r="G14" s="45">
        <f>PV(C9,B14,-C14)</f>
        <v>314291.3084656822</v>
      </c>
    </row>
    <row r="15" spans="1:13" x14ac:dyDescent="0.25">
      <c r="B15" s="58">
        <v>2</v>
      </c>
      <c r="C15" s="12">
        <f t="shared" ref="C15:C19" si="0">$F$10</f>
        <v>320262.8433265317</v>
      </c>
      <c r="D15" s="12">
        <f t="shared" ref="D15:D19" si="1">C15-E15</f>
        <v>291498.03734973579</v>
      </c>
      <c r="E15" s="12">
        <f t="shared" ref="E15:E19" si="2">F14*$C$9</f>
        <v>28764.805976795895</v>
      </c>
      <c r="F15" s="12">
        <f t="shared" ref="F15:F19" si="3">F14-D15</f>
        <v>1222439.1193237323</v>
      </c>
      <c r="G15" s="45">
        <f>FV($C$9,B15,-C15)</f>
        <v>646610.68067626527</v>
      </c>
    </row>
    <row r="16" spans="1:13" x14ac:dyDescent="0.25">
      <c r="B16" s="58">
        <v>3</v>
      </c>
      <c r="C16" s="12">
        <f t="shared" si="0"/>
        <v>320262.8433265317</v>
      </c>
      <c r="D16" s="12">
        <f t="shared" si="1"/>
        <v>297036.50005938078</v>
      </c>
      <c r="E16" s="12">
        <f t="shared" si="2"/>
        <v>23226.343267150914</v>
      </c>
      <c r="F16" s="12">
        <f t="shared" si="3"/>
        <v>925402.61926435155</v>
      </c>
      <c r="G16" s="45">
        <f t="shared" ref="G16:G18" si="4">FV($C$9,B16,-C16)</f>
        <v>979159.12693564582</v>
      </c>
    </row>
    <row r="17" spans="2:11" x14ac:dyDescent="0.25">
      <c r="B17" s="58">
        <v>4</v>
      </c>
      <c r="C17" s="12">
        <f t="shared" si="0"/>
        <v>320262.8433265317</v>
      </c>
      <c r="D17" s="12">
        <f t="shared" si="1"/>
        <v>302680.19356050901</v>
      </c>
      <c r="E17" s="12">
        <f t="shared" si="2"/>
        <v>17582.649766022678</v>
      </c>
      <c r="F17" s="12">
        <f t="shared" si="3"/>
        <v>622722.42570384254</v>
      </c>
      <c r="G17" s="45">
        <f t="shared" si="4"/>
        <v>1318025.9936739544</v>
      </c>
    </row>
    <row r="18" spans="2:11" x14ac:dyDescent="0.25">
      <c r="B18" s="58">
        <v>5</v>
      </c>
      <c r="C18" s="12">
        <f t="shared" si="0"/>
        <v>320262.8433265317</v>
      </c>
      <c r="D18" s="12">
        <f t="shared" si="1"/>
        <v>308431.11723815871</v>
      </c>
      <c r="E18" s="12">
        <f t="shared" si="2"/>
        <v>11831.726088373009</v>
      </c>
      <c r="F18" s="12">
        <f t="shared" si="3"/>
        <v>314291.30846568383</v>
      </c>
      <c r="G18" s="45">
        <f t="shared" si="4"/>
        <v>1663331.3308802878</v>
      </c>
    </row>
    <row r="19" spans="2:11" x14ac:dyDescent="0.25">
      <c r="B19" s="58">
        <v>6</v>
      </c>
      <c r="C19" s="12">
        <f t="shared" si="0"/>
        <v>320262.8433265317</v>
      </c>
      <c r="D19" s="12">
        <f t="shared" si="1"/>
        <v>314291.30846568372</v>
      </c>
      <c r="E19" s="12">
        <f t="shared" si="2"/>
        <v>5971.5348608479926</v>
      </c>
      <c r="F19" s="12">
        <f t="shared" si="3"/>
        <v>0</v>
      </c>
      <c r="G19" s="71">
        <f>FV($C$9,B19,-C19)</f>
        <v>2015197.4694935477</v>
      </c>
      <c r="I19" s="66"/>
      <c r="J19" s="66"/>
      <c r="K19" s="159"/>
    </row>
    <row r="20" spans="2:11" x14ac:dyDescent="0.25">
      <c r="C20" s="68"/>
      <c r="G20" s="128"/>
    </row>
    <row r="22" spans="2:11" ht="15" customHeight="1" x14ac:dyDescent="0.25">
      <c r="B22" s="213" t="s">
        <v>138</v>
      </c>
      <c r="C22" s="213"/>
      <c r="D22" s="213"/>
      <c r="E22" s="213"/>
      <c r="F22" s="27"/>
    </row>
    <row r="23" spans="2:11" x14ac:dyDescent="0.25">
      <c r="B23" s="213"/>
      <c r="C23" s="213"/>
      <c r="D23" s="213"/>
      <c r="E23" s="213"/>
      <c r="F23" s="27"/>
    </row>
    <row r="24" spans="2:11" ht="15" customHeight="1" x14ac:dyDescent="0.25">
      <c r="B24" s="164" t="s">
        <v>184</v>
      </c>
      <c r="C24" s="164"/>
      <c r="D24" s="164"/>
      <c r="E24" s="164"/>
      <c r="F24" s="164"/>
      <c r="G24" s="164"/>
      <c r="H24" s="164"/>
      <c r="I24" s="164"/>
      <c r="J24" s="164"/>
    </row>
    <row r="25" spans="2:11" x14ac:dyDescent="0.25">
      <c r="B25" s="164"/>
      <c r="C25" s="164"/>
      <c r="D25" s="164"/>
      <c r="E25" s="164"/>
      <c r="F25" s="164"/>
      <c r="G25" s="164"/>
      <c r="H25" s="164"/>
      <c r="I25" s="164"/>
      <c r="J25" s="164"/>
    </row>
    <row r="26" spans="2:11" x14ac:dyDescent="0.25">
      <c r="B26" s="164"/>
      <c r="C26" s="164"/>
      <c r="D26" s="164"/>
      <c r="E26" s="164"/>
      <c r="F26" s="164"/>
      <c r="G26" s="164"/>
      <c r="H26" s="164"/>
      <c r="I26" s="164"/>
      <c r="J26" s="164"/>
    </row>
    <row r="27" spans="2:11" x14ac:dyDescent="0.25">
      <c r="B27" s="164"/>
      <c r="C27" s="164"/>
      <c r="D27" s="164"/>
      <c r="E27" s="164"/>
      <c r="F27" s="164"/>
      <c r="G27" s="164"/>
      <c r="H27" s="164"/>
      <c r="I27" s="164"/>
      <c r="J27" s="164"/>
    </row>
    <row r="28" spans="2:11" x14ac:dyDescent="0.25">
      <c r="B28" s="164"/>
      <c r="C28" s="164"/>
      <c r="D28" s="164"/>
      <c r="E28" s="164"/>
      <c r="F28" s="164"/>
      <c r="G28" s="164"/>
      <c r="H28" s="164"/>
      <c r="I28" s="164"/>
      <c r="J28" s="164"/>
    </row>
    <row r="29" spans="2:11" x14ac:dyDescent="0.25">
      <c r="B29" s="164"/>
      <c r="C29" s="164"/>
      <c r="D29" s="164"/>
      <c r="E29" s="164"/>
      <c r="F29" s="164"/>
      <c r="G29" s="164"/>
      <c r="H29" s="164"/>
      <c r="I29" s="164"/>
      <c r="J29" s="164"/>
    </row>
    <row r="30" spans="2:11" x14ac:dyDescent="0.25">
      <c r="B30" s="42"/>
      <c r="C30" s="42"/>
      <c r="D30" s="42"/>
      <c r="E30" s="42"/>
      <c r="F30" s="42"/>
      <c r="G30" s="42"/>
      <c r="H30" s="42"/>
      <c r="I30" s="42"/>
      <c r="J30" s="42"/>
    </row>
    <row r="31" spans="2:11" x14ac:dyDescent="0.25">
      <c r="B31" s="42"/>
      <c r="C31" s="42"/>
      <c r="D31" s="42"/>
      <c r="E31" s="42"/>
      <c r="F31" s="42"/>
      <c r="G31" s="42"/>
      <c r="H31" s="42"/>
      <c r="I31" s="42"/>
      <c r="J31" s="42"/>
    </row>
  </sheetData>
  <mergeCells count="5">
    <mergeCell ref="B24:J29"/>
    <mergeCell ref="I5:M7"/>
    <mergeCell ref="B22:E23"/>
    <mergeCell ref="B2:F3"/>
    <mergeCell ref="B5: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4"/>
  <sheetViews>
    <sheetView workbookViewId="0">
      <selection activeCell="J103" sqref="J103"/>
    </sheetView>
  </sheetViews>
  <sheetFormatPr baseColWidth="10" defaultRowHeight="15" x14ac:dyDescent="0.25"/>
  <cols>
    <col min="2" max="2" width="12.85546875" customWidth="1"/>
    <col min="7" max="7" width="13.28515625" bestFit="1" customWidth="1"/>
  </cols>
  <sheetData>
    <row r="2" spans="1:13" ht="26.25" x14ac:dyDescent="0.4">
      <c r="B2" s="214" t="s">
        <v>185</v>
      </c>
      <c r="C2" s="161"/>
      <c r="D2" s="161"/>
      <c r="E2" s="161"/>
    </row>
    <row r="4" spans="1:13" ht="15.75" x14ac:dyDescent="0.25">
      <c r="A4" s="160" t="s">
        <v>187</v>
      </c>
      <c r="B4" s="180" t="s">
        <v>186</v>
      </c>
      <c r="C4" s="180"/>
      <c r="D4" s="180"/>
      <c r="E4" s="180"/>
      <c r="F4" s="180"/>
    </row>
    <row r="5" spans="1:13" x14ac:dyDescent="0.25">
      <c r="B5" s="180"/>
      <c r="C5" s="180"/>
      <c r="D5" s="180"/>
      <c r="E5" s="180"/>
      <c r="F5" s="180"/>
    </row>
    <row r="6" spans="1:13" x14ac:dyDescent="0.25">
      <c r="B6" s="180"/>
      <c r="C6" s="180"/>
      <c r="D6" s="180"/>
      <c r="E6" s="180"/>
      <c r="F6" s="180"/>
    </row>
    <row r="10" spans="1:13" x14ac:dyDescent="0.25">
      <c r="B10" s="252" t="s">
        <v>198</v>
      </c>
      <c r="C10" s="252"/>
      <c r="D10" s="252"/>
      <c r="E10" s="252"/>
      <c r="F10" s="252"/>
      <c r="G10" s="252"/>
    </row>
    <row r="11" spans="1:13" ht="15.75" thickBot="1" x14ac:dyDescent="0.3"/>
    <row r="12" spans="1:13" ht="15.75" thickBot="1" x14ac:dyDescent="0.3">
      <c r="B12" s="141"/>
      <c r="C12" s="229"/>
      <c r="D12" s="229"/>
      <c r="F12" s="141"/>
      <c r="G12" s="141"/>
      <c r="I12" s="242" t="s">
        <v>190</v>
      </c>
      <c r="J12" s="243"/>
      <c r="K12" s="244">
        <f>((1+C14)^6)-1</f>
        <v>0.12616241926400007</v>
      </c>
      <c r="L12" t="s">
        <v>199</v>
      </c>
    </row>
    <row r="13" spans="1:13" ht="15.75" thickBot="1" x14ac:dyDescent="0.3">
      <c r="B13" s="141"/>
      <c r="C13" s="229"/>
      <c r="D13" s="229"/>
      <c r="E13" s="142"/>
      <c r="F13" s="141"/>
      <c r="G13" s="141"/>
      <c r="I13" s="247" t="s">
        <v>200</v>
      </c>
      <c r="J13" s="248"/>
      <c r="K13" s="249">
        <v>1500000</v>
      </c>
    </row>
    <row r="14" spans="1:13" ht="15.75" thickBot="1" x14ac:dyDescent="0.3">
      <c r="B14" s="230" t="s">
        <v>222</v>
      </c>
      <c r="C14" s="231">
        <v>0.02</v>
      </c>
      <c r="D14" s="229"/>
      <c r="E14" s="142"/>
      <c r="F14" s="141"/>
      <c r="G14" s="141"/>
      <c r="I14" s="250" t="s">
        <v>193</v>
      </c>
      <c r="J14" s="251"/>
      <c r="K14" s="241">
        <v>894740.06059346441</v>
      </c>
    </row>
    <row r="15" spans="1:13" ht="15.75" thickBot="1" x14ac:dyDescent="0.3">
      <c r="B15" s="123" t="s">
        <v>201</v>
      </c>
      <c r="C15" s="232">
        <f>EFFECT(C14*6,6)</f>
        <v>0.12616241926400007</v>
      </c>
      <c r="D15" s="141"/>
      <c r="E15" s="141"/>
      <c r="F15" s="141"/>
      <c r="G15" s="141"/>
    </row>
    <row r="16" spans="1:13" ht="15.75" thickBot="1" x14ac:dyDescent="0.3">
      <c r="B16" s="234" t="s">
        <v>202</v>
      </c>
      <c r="C16" s="126">
        <f>NOMINAL(C14,6)</f>
        <v>1.9835341947823437E-2</v>
      </c>
      <c r="D16" s="141"/>
      <c r="E16" s="141"/>
      <c r="F16" s="141"/>
      <c r="G16" s="141"/>
      <c r="I16" s="70" t="s">
        <v>203</v>
      </c>
      <c r="J16" s="70" t="s">
        <v>193</v>
      </c>
      <c r="K16" s="70" t="s">
        <v>194</v>
      </c>
      <c r="L16" s="70" t="s">
        <v>195</v>
      </c>
      <c r="M16" s="70" t="s">
        <v>196</v>
      </c>
    </row>
    <row r="17" spans="2:13" x14ac:dyDescent="0.25">
      <c r="B17" s="141"/>
      <c r="C17" s="141"/>
      <c r="D17" s="141"/>
      <c r="E17" s="141"/>
      <c r="F17" s="142"/>
      <c r="G17" s="220"/>
      <c r="I17" s="44">
        <v>0</v>
      </c>
      <c r="J17" s="44"/>
      <c r="K17" s="44"/>
      <c r="L17" s="12"/>
      <c r="M17" s="217">
        <f>K13</f>
        <v>1500000</v>
      </c>
    </row>
    <row r="18" spans="2:13" x14ac:dyDescent="0.25">
      <c r="B18" s="221"/>
      <c r="C18" s="141"/>
      <c r="D18" s="220"/>
      <c r="E18" s="220"/>
      <c r="F18" s="220"/>
      <c r="G18" s="220"/>
      <c r="I18" s="44">
        <v>1</v>
      </c>
      <c r="J18" s="217">
        <f>$K$14</f>
        <v>894740.06059346441</v>
      </c>
      <c r="K18" s="222">
        <f>M17*$K$12</f>
        <v>189243.6288960001</v>
      </c>
      <c r="L18" s="217">
        <f>J18-K18</f>
        <v>705496.43169746432</v>
      </c>
      <c r="M18" s="217">
        <f>M17-L18</f>
        <v>794503.56830253568</v>
      </c>
    </row>
    <row r="19" spans="2:13" x14ac:dyDescent="0.25">
      <c r="B19" s="221"/>
      <c r="C19" s="141"/>
      <c r="D19" s="220"/>
      <c r="E19" s="220"/>
      <c r="F19" s="220"/>
      <c r="G19" s="220"/>
      <c r="I19" s="44">
        <v>2</v>
      </c>
      <c r="J19" s="217">
        <f>$K$14</f>
        <v>894740.06059346441</v>
      </c>
      <c r="K19" s="222">
        <f>M18*$K$12</f>
        <v>100236.49229092863</v>
      </c>
      <c r="L19" s="217">
        <f>J19-K19</f>
        <v>794503.5683025358</v>
      </c>
      <c r="M19" s="217">
        <f>M18-L19</f>
        <v>0</v>
      </c>
    </row>
    <row r="20" spans="2:13" x14ac:dyDescent="0.25">
      <c r="B20" s="221"/>
      <c r="C20" s="141"/>
      <c r="D20" s="220"/>
      <c r="E20" s="220"/>
      <c r="F20" s="220"/>
      <c r="G20" s="220"/>
      <c r="K20" s="51">
        <f>SUM(K18:K19)</f>
        <v>289480.12118692871</v>
      </c>
    </row>
    <row r="21" spans="2:13" x14ac:dyDescent="0.25">
      <c r="B21" s="221"/>
      <c r="C21" s="141"/>
      <c r="D21" s="220"/>
      <c r="E21" s="220"/>
      <c r="F21" s="220"/>
      <c r="G21" s="220"/>
    </row>
    <row r="22" spans="2:13" x14ac:dyDescent="0.25">
      <c r="E22" s="68">
        <f>SUM(E18:E21)</f>
        <v>0</v>
      </c>
    </row>
    <row r="24" spans="2:13" x14ac:dyDescent="0.25">
      <c r="B24" s="252" t="s">
        <v>204</v>
      </c>
      <c r="C24" s="252"/>
      <c r="D24" s="252"/>
      <c r="E24" s="252"/>
      <c r="F24" s="252"/>
      <c r="G24" s="252"/>
    </row>
    <row r="25" spans="2:13" ht="15.75" thickBot="1" x14ac:dyDescent="0.3"/>
    <row r="26" spans="2:13" ht="15.75" thickBot="1" x14ac:dyDescent="0.3">
      <c r="C26" s="254" t="s">
        <v>190</v>
      </c>
      <c r="D26" s="255"/>
      <c r="E26" s="231">
        <v>0.06</v>
      </c>
      <c r="F26" t="s">
        <v>191</v>
      </c>
    </row>
    <row r="27" spans="2:13" ht="15.75" thickBot="1" x14ac:dyDescent="0.3">
      <c r="C27" s="256" t="s">
        <v>200</v>
      </c>
      <c r="D27" s="257"/>
      <c r="E27" s="125">
        <v>300000</v>
      </c>
      <c r="G27" s="70" t="s">
        <v>203</v>
      </c>
      <c r="H27" s="70" t="s">
        <v>193</v>
      </c>
      <c r="I27" s="70" t="s">
        <v>194</v>
      </c>
      <c r="J27" s="70" t="s">
        <v>195</v>
      </c>
      <c r="K27" s="70" t="s">
        <v>196</v>
      </c>
    </row>
    <row r="28" spans="2:13" ht="15.75" thickBot="1" x14ac:dyDescent="0.3">
      <c r="G28" s="44">
        <v>0</v>
      </c>
      <c r="H28" s="44"/>
      <c r="I28" s="44"/>
      <c r="J28" s="12"/>
      <c r="K28" s="217">
        <f>E27</f>
        <v>300000</v>
      </c>
    </row>
    <row r="29" spans="2:13" ht="15.75" thickBot="1" x14ac:dyDescent="0.3">
      <c r="C29" s="122" t="s">
        <v>205</v>
      </c>
      <c r="D29" s="258">
        <f>FV(E26,1,,-E27)</f>
        <v>318000</v>
      </c>
      <c r="E29">
        <v>318000</v>
      </c>
      <c r="G29" s="44">
        <v>1</v>
      </c>
      <c r="H29" s="217">
        <f>E29</f>
        <v>318000</v>
      </c>
      <c r="I29" s="222">
        <f>K28*E26</f>
        <v>18000</v>
      </c>
      <c r="J29" s="217">
        <f>H29-I29</f>
        <v>300000</v>
      </c>
      <c r="K29" s="217">
        <f>K28-J29</f>
        <v>0</v>
      </c>
    </row>
    <row r="30" spans="2:13" ht="15.75" thickBot="1" x14ac:dyDescent="0.3">
      <c r="C30" s="259" t="s">
        <v>206</v>
      </c>
      <c r="D30" s="241">
        <f>E27*E26</f>
        <v>18000</v>
      </c>
    </row>
    <row r="32" spans="2:13" x14ac:dyDescent="0.25">
      <c r="B32" s="224" t="s">
        <v>207</v>
      </c>
      <c r="C32" s="224"/>
      <c r="D32" s="224"/>
      <c r="E32" s="224"/>
      <c r="F32" s="224"/>
      <c r="G32" s="224"/>
      <c r="H32" s="224"/>
      <c r="I32" s="224"/>
      <c r="J32" s="224"/>
      <c r="K32" s="224"/>
    </row>
    <row r="33" spans="2:12" ht="15.75" thickBot="1" x14ac:dyDescent="0.3"/>
    <row r="34" spans="2:12" ht="15.75" thickBot="1" x14ac:dyDescent="0.3">
      <c r="C34" s="409" t="s">
        <v>208</v>
      </c>
      <c r="D34" s="410"/>
      <c r="E34" s="411">
        <v>0.36</v>
      </c>
      <c r="G34" s="416" t="s">
        <v>209</v>
      </c>
      <c r="H34" s="417">
        <f>E34/4</f>
        <v>0.09</v>
      </c>
    </row>
    <row r="35" spans="2:12" ht="15.75" thickBot="1" x14ac:dyDescent="0.3">
      <c r="C35" s="412" t="s">
        <v>200</v>
      </c>
      <c r="D35" s="413"/>
      <c r="E35" s="89">
        <v>400000</v>
      </c>
    </row>
    <row r="36" spans="2:12" ht="15.75" thickBot="1" x14ac:dyDescent="0.3">
      <c r="C36" s="414" t="s">
        <v>193</v>
      </c>
      <c r="D36" s="415"/>
      <c r="E36" s="121">
        <v>123467.46483643912</v>
      </c>
    </row>
    <row r="38" spans="2:12" x14ac:dyDescent="0.25">
      <c r="C38" s="70" t="s">
        <v>203</v>
      </c>
      <c r="D38" s="70" t="s">
        <v>193</v>
      </c>
      <c r="E38" s="70" t="s">
        <v>194</v>
      </c>
      <c r="F38" s="70" t="s">
        <v>195</v>
      </c>
      <c r="G38" s="70" t="s">
        <v>196</v>
      </c>
    </row>
    <row r="39" spans="2:12" x14ac:dyDescent="0.25">
      <c r="C39" s="44">
        <v>0</v>
      </c>
      <c r="D39" s="44"/>
      <c r="E39" s="44"/>
      <c r="F39" s="12"/>
      <c r="G39" s="217">
        <f>E35</f>
        <v>400000</v>
      </c>
    </row>
    <row r="40" spans="2:12" x14ac:dyDescent="0.25">
      <c r="C40" s="44">
        <v>1</v>
      </c>
      <c r="D40" s="217">
        <f>$E$36</f>
        <v>123467.46483643912</v>
      </c>
      <c r="E40" s="222">
        <f>$H$34*G39</f>
        <v>36000</v>
      </c>
      <c r="F40" s="217">
        <f>D40-E40</f>
        <v>87467.464836439118</v>
      </c>
      <c r="G40" s="217">
        <f>G39-F40</f>
        <v>312532.53516356088</v>
      </c>
    </row>
    <row r="41" spans="2:12" x14ac:dyDescent="0.25">
      <c r="C41" s="44">
        <v>2</v>
      </c>
      <c r="D41" s="217">
        <f t="shared" ref="D41:D43" si="0">$E$36</f>
        <v>123467.46483643912</v>
      </c>
      <c r="E41" s="222">
        <f t="shared" ref="E41:E43" si="1">$H$34*G40</f>
        <v>28127.928164720477</v>
      </c>
      <c r="F41" s="217">
        <f t="shared" ref="F41:F43" si="2">D41-E41</f>
        <v>95339.536671718641</v>
      </c>
      <c r="G41" s="217">
        <f t="shared" ref="G41:G43" si="3">G40-F41</f>
        <v>217192.99849184224</v>
      </c>
    </row>
    <row r="42" spans="2:12" x14ac:dyDescent="0.25">
      <c r="C42" s="44">
        <v>3</v>
      </c>
      <c r="D42" s="217">
        <f t="shared" si="0"/>
        <v>123467.46483643912</v>
      </c>
      <c r="E42" s="222">
        <f t="shared" si="1"/>
        <v>19547.369864265802</v>
      </c>
      <c r="F42" s="217">
        <f t="shared" si="2"/>
        <v>103920.09497217332</v>
      </c>
      <c r="G42" s="217">
        <f t="shared" si="3"/>
        <v>113272.90351966892</v>
      </c>
    </row>
    <row r="43" spans="2:12" x14ac:dyDescent="0.25">
      <c r="C43" s="44">
        <v>4</v>
      </c>
      <c r="D43" s="217">
        <f t="shared" si="0"/>
        <v>123467.46483643912</v>
      </c>
      <c r="E43" s="222">
        <f t="shared" si="1"/>
        <v>10194.561316770203</v>
      </c>
      <c r="F43" s="217">
        <f t="shared" si="2"/>
        <v>113272.90351966891</v>
      </c>
      <c r="G43" s="217">
        <f t="shared" si="3"/>
        <v>0</v>
      </c>
    </row>
    <row r="44" spans="2:12" x14ac:dyDescent="0.25">
      <c r="E44" s="51">
        <f>SUM(E40:E43)</f>
        <v>93869.859345756471</v>
      </c>
    </row>
    <row r="46" spans="2:12" x14ac:dyDescent="0.25">
      <c r="B46" s="226" t="s">
        <v>210</v>
      </c>
      <c r="C46" s="196"/>
      <c r="D46" s="196"/>
      <c r="E46" s="196"/>
      <c r="F46" s="196"/>
      <c r="G46" s="196"/>
      <c r="H46" s="196"/>
      <c r="I46" s="196"/>
      <c r="J46" s="196"/>
      <c r="K46" s="196"/>
      <c r="L46" s="196"/>
    </row>
    <row r="47" spans="2:12" ht="15.75" thickBot="1" x14ac:dyDescent="0.3"/>
    <row r="48" spans="2:12" ht="15.75" thickBot="1" x14ac:dyDescent="0.3">
      <c r="C48" s="141"/>
      <c r="D48" s="141"/>
      <c r="E48" s="230" t="s">
        <v>72</v>
      </c>
      <c r="F48" s="418">
        <v>800000</v>
      </c>
      <c r="G48" s="141"/>
    </row>
    <row r="49" spans="2:12" ht="15.75" thickBot="1" x14ac:dyDescent="0.3">
      <c r="C49" s="141"/>
      <c r="D49" s="141"/>
      <c r="E49" s="120" t="s">
        <v>211</v>
      </c>
      <c r="F49" s="121">
        <v>1056000</v>
      </c>
      <c r="G49" s="220"/>
    </row>
    <row r="50" spans="2:12" ht="15.75" thickBot="1" x14ac:dyDescent="0.3">
      <c r="C50" s="141"/>
      <c r="D50" s="220"/>
      <c r="E50" s="419" t="s">
        <v>212</v>
      </c>
      <c r="F50" s="241">
        <f>F49-F48</f>
        <v>256000</v>
      </c>
      <c r="G50" s="220"/>
    </row>
    <row r="51" spans="2:12" ht="15.75" thickBot="1" x14ac:dyDescent="0.3">
      <c r="E51" s="123" t="s">
        <v>213</v>
      </c>
      <c r="F51" s="420">
        <f>F50/F48</f>
        <v>0.32</v>
      </c>
    </row>
    <row r="53" spans="2:12" x14ac:dyDescent="0.25">
      <c r="B53" s="196" t="s">
        <v>214</v>
      </c>
      <c r="C53" s="196"/>
      <c r="D53" s="196"/>
      <c r="E53" s="196"/>
      <c r="F53" s="196"/>
      <c r="G53" s="196"/>
      <c r="H53" s="196"/>
      <c r="I53" s="196"/>
      <c r="J53" s="196"/>
      <c r="K53" s="196"/>
      <c r="L53" s="196"/>
    </row>
    <row r="54" spans="2:12" ht="15.75" thickBot="1" x14ac:dyDescent="0.3">
      <c r="B54" s="79"/>
      <c r="C54" s="79"/>
      <c r="D54" s="79"/>
      <c r="E54" s="79"/>
      <c r="F54" s="79"/>
      <c r="G54" s="79"/>
      <c r="H54" s="79"/>
      <c r="I54" s="79"/>
      <c r="J54" s="79"/>
      <c r="K54" s="79"/>
      <c r="L54" s="79"/>
    </row>
    <row r="55" spans="2:12" ht="15.75" thickBot="1" x14ac:dyDescent="0.3">
      <c r="B55" s="79"/>
      <c r="C55" s="421" t="s">
        <v>72</v>
      </c>
      <c r="D55" s="422">
        <v>500000</v>
      </c>
      <c r="E55" s="79"/>
      <c r="F55" s="79"/>
      <c r="G55" s="79"/>
      <c r="H55" s="79"/>
      <c r="I55" s="79"/>
      <c r="J55" s="79"/>
      <c r="K55" s="79"/>
      <c r="L55" s="79"/>
    </row>
    <row r="56" spans="2:12" ht="15.75" thickBot="1" x14ac:dyDescent="0.3">
      <c r="B56" s="79"/>
      <c r="C56" s="423" t="s">
        <v>110</v>
      </c>
      <c r="D56" s="424">
        <v>48740</v>
      </c>
      <c r="E56" s="79"/>
      <c r="F56" s="79"/>
      <c r="G56" s="79"/>
      <c r="H56" s="79"/>
      <c r="I56" s="79"/>
      <c r="J56" s="79"/>
      <c r="K56" s="79"/>
      <c r="L56" s="79"/>
    </row>
    <row r="57" spans="2:12" ht="15.75" thickBot="1" x14ac:dyDescent="0.3">
      <c r="B57" s="79"/>
      <c r="C57" s="425" t="s">
        <v>213</v>
      </c>
      <c r="D57" s="426">
        <v>2.4987925565100603E-2</v>
      </c>
      <c r="E57" s="79"/>
      <c r="F57" s="79"/>
      <c r="G57" s="79"/>
      <c r="H57" s="79"/>
      <c r="I57" s="79"/>
      <c r="J57" s="79"/>
      <c r="K57" s="79"/>
      <c r="L57" s="79"/>
    </row>
    <row r="59" spans="2:12" x14ac:dyDescent="0.25">
      <c r="C59" s="70" t="s">
        <v>203</v>
      </c>
      <c r="D59" s="70" t="s">
        <v>193</v>
      </c>
      <c r="E59" s="70" t="s">
        <v>194</v>
      </c>
      <c r="F59" s="70" t="s">
        <v>195</v>
      </c>
      <c r="G59" s="70" t="s">
        <v>196</v>
      </c>
    </row>
    <row r="60" spans="2:12" x14ac:dyDescent="0.25">
      <c r="C60" s="44">
        <v>0</v>
      </c>
      <c r="D60" s="44"/>
      <c r="E60" s="44"/>
      <c r="F60" s="12"/>
      <c r="G60" s="217">
        <f>D55</f>
        <v>500000</v>
      </c>
    </row>
    <row r="61" spans="2:12" x14ac:dyDescent="0.25">
      <c r="C61" s="44">
        <v>1</v>
      </c>
      <c r="D61" s="217">
        <f>$D$56</f>
        <v>48740</v>
      </c>
      <c r="E61" s="222">
        <f>G60*$D$57</f>
        <v>12493.962782550301</v>
      </c>
      <c r="F61" s="217">
        <f>D61-E61</f>
        <v>36246.037217449702</v>
      </c>
      <c r="G61" s="217">
        <f>G60-F61</f>
        <v>463753.96278255031</v>
      </c>
    </row>
    <row r="62" spans="2:12" x14ac:dyDescent="0.25">
      <c r="C62" s="44">
        <v>2</v>
      </c>
      <c r="D62" s="217">
        <f t="shared" ref="D62:D73" si="4">$D$56</f>
        <v>48740</v>
      </c>
      <c r="E62" s="222">
        <f t="shared" ref="E62:E72" si="5">G61*$D$57</f>
        <v>11588.249502530802</v>
      </c>
      <c r="F62" s="217">
        <f t="shared" ref="F62:F72" si="6">D62-E62</f>
        <v>37151.750497469198</v>
      </c>
      <c r="G62" s="217">
        <f t="shared" ref="G62:G72" si="7">G61-F62</f>
        <v>426602.2122850811</v>
      </c>
    </row>
    <row r="63" spans="2:12" x14ac:dyDescent="0.25">
      <c r="C63" s="44">
        <v>3</v>
      </c>
      <c r="D63" s="217">
        <f t="shared" si="4"/>
        <v>48740</v>
      </c>
      <c r="E63" s="222">
        <f t="shared" si="5"/>
        <v>10659.904326486852</v>
      </c>
      <c r="F63" s="217">
        <f t="shared" si="6"/>
        <v>38080.095673513148</v>
      </c>
      <c r="G63" s="217">
        <f t="shared" si="7"/>
        <v>388522.11661156797</v>
      </c>
    </row>
    <row r="64" spans="2:12" x14ac:dyDescent="0.25">
      <c r="C64" s="44">
        <v>4</v>
      </c>
      <c r="D64" s="217">
        <f t="shared" si="4"/>
        <v>48740</v>
      </c>
      <c r="E64" s="222">
        <f t="shared" si="5"/>
        <v>9708.3617302851962</v>
      </c>
      <c r="F64" s="217">
        <f t="shared" si="6"/>
        <v>39031.638269714807</v>
      </c>
      <c r="G64" s="217">
        <f t="shared" si="7"/>
        <v>349490.47834185313</v>
      </c>
    </row>
    <row r="65" spans="2:12" x14ac:dyDescent="0.25">
      <c r="C65" s="44">
        <v>5</v>
      </c>
      <c r="D65" s="217">
        <f t="shared" si="4"/>
        <v>48740</v>
      </c>
      <c r="E65" s="222">
        <f t="shared" si="5"/>
        <v>8733.0420585176307</v>
      </c>
      <c r="F65" s="217">
        <f t="shared" si="6"/>
        <v>40006.957941482367</v>
      </c>
      <c r="G65" s="217">
        <f t="shared" si="7"/>
        <v>309483.52040037076</v>
      </c>
    </row>
    <row r="66" spans="2:12" x14ac:dyDescent="0.25">
      <c r="C66" s="44">
        <v>6</v>
      </c>
      <c r="D66" s="217">
        <f t="shared" si="4"/>
        <v>48740</v>
      </c>
      <c r="E66" s="222">
        <f t="shared" si="5"/>
        <v>7733.3511713897587</v>
      </c>
      <c r="F66" s="217">
        <f t="shared" si="6"/>
        <v>41006.648828610239</v>
      </c>
      <c r="G66" s="217">
        <f t="shared" si="7"/>
        <v>268476.87157176051</v>
      </c>
    </row>
    <row r="67" spans="2:12" x14ac:dyDescent="0.25">
      <c r="C67" s="44">
        <v>7</v>
      </c>
      <c r="D67" s="217">
        <f t="shared" si="4"/>
        <v>48740</v>
      </c>
      <c r="E67" s="222">
        <f t="shared" si="5"/>
        <v>6708.6800827862253</v>
      </c>
      <c r="F67" s="217">
        <f t="shared" si="6"/>
        <v>42031.319917213776</v>
      </c>
      <c r="G67" s="217">
        <f t="shared" si="7"/>
        <v>226445.55165454673</v>
      </c>
    </row>
    <row r="68" spans="2:12" x14ac:dyDescent="0.25">
      <c r="C68" s="44">
        <v>8</v>
      </c>
      <c r="D68" s="217">
        <f t="shared" si="4"/>
        <v>48740</v>
      </c>
      <c r="E68" s="222">
        <f t="shared" si="5"/>
        <v>5658.4045892919576</v>
      </c>
      <c r="F68" s="217">
        <f t="shared" si="6"/>
        <v>43081.59541070804</v>
      </c>
      <c r="G68" s="217">
        <f t="shared" si="7"/>
        <v>183363.95624383868</v>
      </c>
    </row>
    <row r="69" spans="2:12" x14ac:dyDescent="0.25">
      <c r="C69" s="44">
        <v>9</v>
      </c>
      <c r="D69" s="217">
        <f t="shared" si="4"/>
        <v>48740</v>
      </c>
      <c r="E69" s="222">
        <f t="shared" si="5"/>
        <v>4581.8848899434051</v>
      </c>
      <c r="F69" s="217">
        <f t="shared" si="6"/>
        <v>44158.115110056591</v>
      </c>
      <c r="G69" s="217">
        <f t="shared" si="7"/>
        <v>139205.84113378209</v>
      </c>
    </row>
    <row r="70" spans="2:12" x14ac:dyDescent="0.25">
      <c r="C70" s="44">
        <v>10</v>
      </c>
      <c r="D70" s="217">
        <f t="shared" si="4"/>
        <v>48740</v>
      </c>
      <c r="E70" s="222">
        <f t="shared" si="5"/>
        <v>3478.4651964781665</v>
      </c>
      <c r="F70" s="217">
        <f t="shared" si="6"/>
        <v>45261.534803521834</v>
      </c>
      <c r="G70" s="217">
        <f t="shared" si="7"/>
        <v>93944.306330260253</v>
      </c>
    </row>
    <row r="71" spans="2:12" x14ac:dyDescent="0.25">
      <c r="C71" s="44">
        <v>11</v>
      </c>
      <c r="D71" s="217">
        <f t="shared" si="4"/>
        <v>48740</v>
      </c>
      <c r="E71" s="222">
        <f t="shared" si="5"/>
        <v>2347.4733338455526</v>
      </c>
      <c r="F71" s="217">
        <f t="shared" si="6"/>
        <v>46392.526666154445</v>
      </c>
      <c r="G71" s="217">
        <f t="shared" si="7"/>
        <v>47551.779664105808</v>
      </c>
    </row>
    <row r="72" spans="2:12" x14ac:dyDescent="0.25">
      <c r="C72" s="44">
        <v>12</v>
      </c>
      <c r="D72" s="217">
        <f t="shared" si="4"/>
        <v>48740</v>
      </c>
      <c r="E72" s="222">
        <f t="shared" si="5"/>
        <v>1188.2203307347404</v>
      </c>
      <c r="F72" s="217">
        <f t="shared" si="6"/>
        <v>47551.779669265263</v>
      </c>
      <c r="G72" s="217">
        <f t="shared" si="7"/>
        <v>-5.1594543037936091E-6</v>
      </c>
    </row>
    <row r="73" spans="2:12" x14ac:dyDescent="0.25">
      <c r="C73" s="44"/>
      <c r="D73" s="217"/>
      <c r="E73" s="41">
        <f>SUM(E61:E72)</f>
        <v>84879.999994840589</v>
      </c>
      <c r="F73" s="217"/>
      <c r="G73" s="217"/>
    </row>
    <row r="76" spans="2:12" x14ac:dyDescent="0.25">
      <c r="B76" s="196" t="s">
        <v>215</v>
      </c>
      <c r="C76" s="196"/>
      <c r="D76" s="196"/>
      <c r="E76" s="196"/>
      <c r="F76" s="196"/>
      <c r="G76" s="196"/>
      <c r="H76" s="196"/>
      <c r="I76" s="196"/>
      <c r="J76" s="196"/>
      <c r="K76" s="196"/>
      <c r="L76" s="196"/>
    </row>
    <row r="77" spans="2:12" ht="15.75" thickBot="1" x14ac:dyDescent="0.3"/>
    <row r="78" spans="2:12" ht="15.75" thickBot="1" x14ac:dyDescent="0.3">
      <c r="C78" s="254" t="s">
        <v>190</v>
      </c>
      <c r="D78" s="255"/>
      <c r="E78" s="427">
        <v>0.24</v>
      </c>
      <c r="F78" t="s">
        <v>191</v>
      </c>
      <c r="G78" s="120" t="s">
        <v>193</v>
      </c>
      <c r="H78" s="133">
        <v>372000</v>
      </c>
    </row>
    <row r="79" spans="2:12" ht="15.75" thickBot="1" x14ac:dyDescent="0.3">
      <c r="C79" s="412" t="s">
        <v>200</v>
      </c>
      <c r="D79" s="413"/>
      <c r="E79" s="89">
        <v>300000</v>
      </c>
    </row>
    <row r="81" spans="2:8" x14ac:dyDescent="0.25">
      <c r="C81" s="70" t="s">
        <v>203</v>
      </c>
      <c r="D81" s="70" t="s">
        <v>193</v>
      </c>
      <c r="E81" s="70" t="s">
        <v>194</v>
      </c>
      <c r="F81" s="70" t="s">
        <v>195</v>
      </c>
      <c r="G81" s="70" t="s">
        <v>196</v>
      </c>
    </row>
    <row r="82" spans="2:8" x14ac:dyDescent="0.25">
      <c r="C82" s="44">
        <v>0</v>
      </c>
      <c r="D82" s="44"/>
      <c r="E82" s="44"/>
      <c r="F82" s="12"/>
      <c r="G82" s="217">
        <f>E79</f>
        <v>300000</v>
      </c>
    </row>
    <row r="83" spans="2:8" x14ac:dyDescent="0.25">
      <c r="C83" s="44">
        <v>1</v>
      </c>
      <c r="D83" s="217">
        <f>H78</f>
        <v>372000</v>
      </c>
      <c r="E83" s="222">
        <f>G82*E78</f>
        <v>72000</v>
      </c>
      <c r="F83" s="217">
        <f>D83-E83</f>
        <v>300000</v>
      </c>
      <c r="G83" s="217">
        <f>G82-F83</f>
        <v>0</v>
      </c>
    </row>
    <row r="86" spans="2:8" x14ac:dyDescent="0.25">
      <c r="B86" s="196" t="s">
        <v>216</v>
      </c>
      <c r="C86" s="196"/>
      <c r="D86" s="196"/>
      <c r="E86" s="196"/>
      <c r="F86" s="196"/>
      <c r="G86" s="196"/>
      <c r="H86" s="196"/>
    </row>
    <row r="87" spans="2:8" ht="15.75" thickBot="1" x14ac:dyDescent="0.3"/>
    <row r="88" spans="2:8" ht="15.75" thickBot="1" x14ac:dyDescent="0.3">
      <c r="C88" s="254" t="s">
        <v>190</v>
      </c>
      <c r="D88" s="255"/>
      <c r="E88" s="427">
        <v>0.3</v>
      </c>
      <c r="F88" t="s">
        <v>191</v>
      </c>
    </row>
    <row r="89" spans="2:8" ht="15.75" thickBot="1" x14ac:dyDescent="0.3">
      <c r="C89" s="256" t="s">
        <v>200</v>
      </c>
      <c r="D89" s="257"/>
      <c r="E89" s="125">
        <v>200000</v>
      </c>
      <c r="G89" s="432" t="s">
        <v>217</v>
      </c>
      <c r="H89" s="233">
        <v>19157.190514467038</v>
      </c>
    </row>
    <row r="90" spans="2:8" ht="15.75" thickBot="1" x14ac:dyDescent="0.3">
      <c r="C90" s="428" t="s">
        <v>218</v>
      </c>
      <c r="D90" s="429"/>
      <c r="E90" s="430">
        <f>NOMINAL(E88,12)</f>
        <v>0.26525340712339052</v>
      </c>
    </row>
    <row r="91" spans="2:8" ht="15.75" thickBot="1" x14ac:dyDescent="0.3">
      <c r="C91" s="412" t="s">
        <v>190</v>
      </c>
      <c r="D91" s="413"/>
      <c r="E91" s="431">
        <f>E90/12</f>
        <v>2.2104450593615876E-2</v>
      </c>
      <c r="F91" t="s">
        <v>219</v>
      </c>
    </row>
    <row r="93" spans="2:8" x14ac:dyDescent="0.25">
      <c r="C93" s="70" t="s">
        <v>203</v>
      </c>
      <c r="D93" s="70" t="s">
        <v>193</v>
      </c>
      <c r="E93" s="70" t="s">
        <v>194</v>
      </c>
      <c r="F93" s="70" t="s">
        <v>195</v>
      </c>
      <c r="G93" s="70" t="s">
        <v>196</v>
      </c>
    </row>
    <row r="94" spans="2:8" x14ac:dyDescent="0.25">
      <c r="C94" s="44">
        <v>0</v>
      </c>
      <c r="D94" s="44"/>
      <c r="E94" s="44"/>
      <c r="F94" s="12"/>
      <c r="G94" s="217">
        <f>E89</f>
        <v>200000</v>
      </c>
    </row>
    <row r="95" spans="2:8" x14ac:dyDescent="0.25">
      <c r="C95" s="44">
        <v>1</v>
      </c>
      <c r="D95" s="217">
        <f>$H$89</f>
        <v>19157.190514467038</v>
      </c>
      <c r="E95" s="222">
        <f>G94*$E$91</f>
        <v>4420.890118723175</v>
      </c>
      <c r="F95" s="217">
        <f>D95-E95</f>
        <v>14736.300395743863</v>
      </c>
      <c r="G95" s="217">
        <f>G94-F95</f>
        <v>185263.69960425614</v>
      </c>
    </row>
    <row r="96" spans="2:8" x14ac:dyDescent="0.25">
      <c r="C96" s="44">
        <v>2</v>
      </c>
      <c r="D96" s="217">
        <f t="shared" ref="D96:D106" si="8">$H$89</f>
        <v>19157.190514467038</v>
      </c>
      <c r="E96" s="222">
        <f t="shared" ref="E96:E106" si="9">G95*$E$91</f>
        <v>4095.152294692773</v>
      </c>
      <c r="F96" s="217">
        <f t="shared" ref="F96:F106" si="10">D96-E96</f>
        <v>15062.038219774266</v>
      </c>
      <c r="G96" s="217">
        <f t="shared" ref="G96:G106" si="11">G95-F96</f>
        <v>170201.66138448188</v>
      </c>
    </row>
    <row r="97" spans="2:7" x14ac:dyDescent="0.25">
      <c r="C97" s="44">
        <v>3</v>
      </c>
      <c r="D97" s="217">
        <f t="shared" si="8"/>
        <v>19157.190514467038</v>
      </c>
      <c r="E97" s="222">
        <f t="shared" si="9"/>
        <v>3762.2142150246186</v>
      </c>
      <c r="F97" s="217">
        <f t="shared" si="10"/>
        <v>15394.97629944242</v>
      </c>
      <c r="G97" s="217">
        <f t="shared" si="11"/>
        <v>154806.68508503947</v>
      </c>
    </row>
    <row r="98" spans="2:7" x14ac:dyDescent="0.25">
      <c r="C98" s="44">
        <v>4</v>
      </c>
      <c r="D98" s="217">
        <f t="shared" si="8"/>
        <v>19157.190514467038</v>
      </c>
      <c r="E98" s="222">
        <f t="shared" si="9"/>
        <v>3421.9167220237068</v>
      </c>
      <c r="F98" s="217">
        <f t="shared" si="10"/>
        <v>15735.273792443331</v>
      </c>
      <c r="G98" s="217">
        <f t="shared" si="11"/>
        <v>139071.41129259614</v>
      </c>
    </row>
    <row r="99" spans="2:7" x14ac:dyDescent="0.25">
      <c r="C99" s="44">
        <v>5</v>
      </c>
      <c r="D99" s="217">
        <f t="shared" si="8"/>
        <v>19157.190514467038</v>
      </c>
      <c r="E99" s="222">
        <f t="shared" si="9"/>
        <v>3074.0971399016244</v>
      </c>
      <c r="F99" s="217">
        <f t="shared" si="10"/>
        <v>16083.093374565415</v>
      </c>
      <c r="G99" s="217">
        <f t="shared" si="11"/>
        <v>122988.31791803072</v>
      </c>
    </row>
    <row r="100" spans="2:7" x14ac:dyDescent="0.25">
      <c r="C100" s="44">
        <v>6</v>
      </c>
      <c r="D100" s="217">
        <f t="shared" si="8"/>
        <v>19157.190514467038</v>
      </c>
      <c r="E100" s="222">
        <f t="shared" si="9"/>
        <v>2718.5891970110324</v>
      </c>
      <c r="F100" s="217">
        <f t="shared" si="10"/>
        <v>16438.601317456007</v>
      </c>
      <c r="G100" s="217">
        <f t="shared" si="11"/>
        <v>106549.71660057471</v>
      </c>
    </row>
    <row r="101" spans="2:7" x14ac:dyDescent="0.25">
      <c r="C101" s="44">
        <v>7</v>
      </c>
      <c r="D101" s="217">
        <f t="shared" si="8"/>
        <v>19157.190514467038</v>
      </c>
      <c r="E101" s="222">
        <f t="shared" si="9"/>
        <v>2355.222946361177</v>
      </c>
      <c r="F101" s="217">
        <f t="shared" si="10"/>
        <v>16801.967568105862</v>
      </c>
      <c r="G101" s="217">
        <f t="shared" si="11"/>
        <v>89747.749032468855</v>
      </c>
    </row>
    <row r="102" spans="2:7" x14ac:dyDescent="0.25">
      <c r="C102" s="44">
        <v>8</v>
      </c>
      <c r="D102" s="217">
        <f t="shared" si="8"/>
        <v>19157.190514467038</v>
      </c>
      <c r="E102" s="222">
        <f t="shared" si="9"/>
        <v>1983.8246843764448</v>
      </c>
      <c r="F102" s="217">
        <f t="shared" si="10"/>
        <v>17173.365830090592</v>
      </c>
      <c r="G102" s="217">
        <f t="shared" si="11"/>
        <v>72574.38320237826</v>
      </c>
    </row>
    <row r="103" spans="2:7" x14ac:dyDescent="0.25">
      <c r="C103" s="44">
        <v>9</v>
      </c>
      <c r="D103" s="217">
        <f t="shared" si="8"/>
        <v>19157.190514467038</v>
      </c>
      <c r="E103" s="222">
        <f t="shared" si="9"/>
        <v>1604.2168678591163</v>
      </c>
      <c r="F103" s="217">
        <f t="shared" si="10"/>
        <v>17552.973646607923</v>
      </c>
      <c r="G103" s="217">
        <f t="shared" si="11"/>
        <v>55021.40955577034</v>
      </c>
    </row>
    <row r="104" spans="2:7" x14ac:dyDescent="0.25">
      <c r="C104" s="44">
        <v>10</v>
      </c>
      <c r="D104" s="217">
        <f t="shared" si="8"/>
        <v>19157.190514467038</v>
      </c>
      <c r="E104" s="222">
        <f t="shared" si="9"/>
        <v>1216.2180291166299</v>
      </c>
      <c r="F104" s="217">
        <f t="shared" si="10"/>
        <v>17940.972485350409</v>
      </c>
      <c r="G104" s="217">
        <f t="shared" si="11"/>
        <v>37080.437070419932</v>
      </c>
    </row>
    <row r="105" spans="2:7" x14ac:dyDescent="0.25">
      <c r="C105" s="44">
        <v>11</v>
      </c>
      <c r="D105" s="217">
        <f t="shared" si="8"/>
        <v>19157.190514467038</v>
      </c>
      <c r="E105" s="222">
        <f t="shared" si="9"/>
        <v>819.64268921278006</v>
      </c>
      <c r="F105" s="217">
        <f t="shared" si="10"/>
        <v>18337.54782525426</v>
      </c>
      <c r="G105" s="217">
        <f t="shared" si="11"/>
        <v>18742.889245165672</v>
      </c>
    </row>
    <row r="106" spans="2:7" x14ac:dyDescent="0.25">
      <c r="C106" s="44">
        <v>12</v>
      </c>
      <c r="D106" s="217">
        <f t="shared" si="8"/>
        <v>19157.190514467038</v>
      </c>
      <c r="E106" s="222">
        <f t="shared" si="9"/>
        <v>414.30126930137897</v>
      </c>
      <c r="F106" s="217">
        <f t="shared" si="10"/>
        <v>18742.889245165657</v>
      </c>
      <c r="G106" s="217">
        <f t="shared" si="11"/>
        <v>0</v>
      </c>
    </row>
    <row r="107" spans="2:7" x14ac:dyDescent="0.25">
      <c r="E107" s="51">
        <f>SUM(E95:E106)</f>
        <v>29886.286173604454</v>
      </c>
    </row>
    <row r="111" spans="2:7" x14ac:dyDescent="0.25">
      <c r="B111" t="s">
        <v>220</v>
      </c>
      <c r="D111" s="51">
        <f>SUM(E107,E83,E73,F50,E44,D30,K20)</f>
        <v>844116.2667011302</v>
      </c>
    </row>
    <row r="113" spans="2:7" x14ac:dyDescent="0.25">
      <c r="B113" s="180" t="s">
        <v>221</v>
      </c>
      <c r="C113" s="180"/>
      <c r="D113" s="180"/>
      <c r="E113" s="180"/>
      <c r="F113" s="180"/>
      <c r="G113" s="180"/>
    </row>
    <row r="114" spans="2:7" x14ac:dyDescent="0.25">
      <c r="B114" s="180"/>
      <c r="C114" s="180"/>
      <c r="D114" s="180"/>
      <c r="E114" s="180"/>
      <c r="F114" s="180"/>
      <c r="G114" s="180"/>
    </row>
  </sheetData>
  <mergeCells count="26">
    <mergeCell ref="C88:D88"/>
    <mergeCell ref="C89:D89"/>
    <mergeCell ref="C90:D90"/>
    <mergeCell ref="C91:D91"/>
    <mergeCell ref="B113:G114"/>
    <mergeCell ref="B53:L53"/>
    <mergeCell ref="B76:L76"/>
    <mergeCell ref="C78:D78"/>
    <mergeCell ref="C79:D79"/>
    <mergeCell ref="B86:H86"/>
    <mergeCell ref="B32:K32"/>
    <mergeCell ref="C34:D34"/>
    <mergeCell ref="C35:D35"/>
    <mergeCell ref="C36:D36"/>
    <mergeCell ref="B46:L46"/>
    <mergeCell ref="B18:B19"/>
    <mergeCell ref="B20:B21"/>
    <mergeCell ref="B24:G24"/>
    <mergeCell ref="C26:D26"/>
    <mergeCell ref="C27:D27"/>
    <mergeCell ref="B10:G10"/>
    <mergeCell ref="I12:J12"/>
    <mergeCell ref="I13:J13"/>
    <mergeCell ref="I14:J14"/>
    <mergeCell ref="B2:E2"/>
    <mergeCell ref="B4:F6"/>
  </mergeCells>
  <pageMargins left="0.7" right="0.7" top="0.75" bottom="0.75" header="0.3" footer="0.3"/>
  <pageSetup orientation="portrait" horizontalDpi="360" verticalDpi="36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workbookViewId="0">
      <selection activeCell="J7" sqref="J7"/>
    </sheetView>
  </sheetViews>
  <sheetFormatPr baseColWidth="10" defaultRowHeight="15" x14ac:dyDescent="0.25"/>
  <sheetData>
    <row r="1" spans="1:15" ht="23.25" x14ac:dyDescent="0.35">
      <c r="B1" s="260" t="s">
        <v>223</v>
      </c>
      <c r="C1" s="261"/>
      <c r="D1" s="261"/>
      <c r="E1" s="261"/>
      <c r="F1" s="261"/>
      <c r="G1" s="261"/>
      <c r="H1" s="261"/>
    </row>
    <row r="3" spans="1:15" x14ac:dyDescent="0.25">
      <c r="A3" s="224" t="s">
        <v>224</v>
      </c>
      <c r="B3" s="224"/>
      <c r="C3" s="224"/>
      <c r="D3" s="224"/>
      <c r="E3" s="224"/>
      <c r="F3" s="224"/>
      <c r="G3" s="224"/>
      <c r="H3" s="224"/>
      <c r="I3" s="224"/>
      <c r="J3" s="224"/>
      <c r="K3" s="224"/>
      <c r="L3" s="224"/>
      <c r="M3" s="224"/>
      <c r="N3" s="224"/>
      <c r="O3" s="224"/>
    </row>
    <row r="4" spans="1:15" x14ac:dyDescent="0.25">
      <c r="A4" s="224"/>
      <c r="B4" s="224"/>
      <c r="C4" s="224"/>
      <c r="D4" s="224"/>
      <c r="E4" s="224"/>
      <c r="F4" s="224"/>
      <c r="G4" s="224"/>
      <c r="H4" s="224"/>
      <c r="I4" s="224"/>
      <c r="J4" s="224"/>
      <c r="K4" s="224"/>
      <c r="L4" s="224"/>
      <c r="M4" s="224"/>
      <c r="N4" s="224"/>
      <c r="O4" s="224"/>
    </row>
    <row r="5" spans="1:15" x14ac:dyDescent="0.25">
      <c r="A5" s="224"/>
      <c r="B5" s="224"/>
      <c r="C5" s="224"/>
      <c r="D5" s="224"/>
      <c r="E5" s="224"/>
      <c r="F5" s="224"/>
      <c r="G5" s="224"/>
      <c r="H5" s="224"/>
      <c r="I5" s="224"/>
      <c r="J5" s="224"/>
      <c r="K5" s="224"/>
      <c r="L5" s="224"/>
      <c r="M5" s="224"/>
      <c r="N5" s="224"/>
      <c r="O5" s="224"/>
    </row>
    <row r="6" spans="1:15" ht="15.75" thickBot="1" x14ac:dyDescent="0.3"/>
    <row r="7" spans="1:15" ht="15.75" thickBot="1" x14ac:dyDescent="0.3">
      <c r="B7" s="256" t="s">
        <v>190</v>
      </c>
      <c r="C7" s="257"/>
      <c r="D7" s="153">
        <v>0.1</v>
      </c>
      <c r="E7" t="s">
        <v>191</v>
      </c>
    </row>
    <row r="8" spans="1:15" ht="15.75" thickBot="1" x14ac:dyDescent="0.3">
      <c r="B8" s="254" t="s">
        <v>192</v>
      </c>
      <c r="C8" s="255"/>
      <c r="D8" s="433">
        <v>10000</v>
      </c>
      <c r="G8" s="436" t="s">
        <v>193</v>
      </c>
      <c r="H8" s="437">
        <f>PMT(D7,D9,-D8,,1)</f>
        <v>2398.1589163158674</v>
      </c>
    </row>
    <row r="9" spans="1:15" ht="15.75" thickBot="1" x14ac:dyDescent="0.3">
      <c r="B9" s="245" t="s">
        <v>31</v>
      </c>
      <c r="C9" s="246"/>
      <c r="D9" s="434">
        <v>5</v>
      </c>
    </row>
    <row r="10" spans="1:15" ht="15.75" thickBot="1" x14ac:dyDescent="0.3">
      <c r="B10" s="414" t="s">
        <v>193</v>
      </c>
      <c r="C10" s="415"/>
      <c r="D10" s="435">
        <v>2398.1589163158678</v>
      </c>
    </row>
    <row r="12" spans="1:15" x14ac:dyDescent="0.25">
      <c r="B12" s="70" t="s">
        <v>31</v>
      </c>
      <c r="C12" s="70" t="s">
        <v>193</v>
      </c>
      <c r="D12" s="70" t="s">
        <v>194</v>
      </c>
      <c r="E12" s="70" t="s">
        <v>195</v>
      </c>
      <c r="F12" s="70" t="s">
        <v>196</v>
      </c>
    </row>
    <row r="13" spans="1:15" x14ac:dyDescent="0.25">
      <c r="B13" s="44">
        <v>0</v>
      </c>
      <c r="C13" s="12">
        <f>$D$10</f>
        <v>2398.1589163158678</v>
      </c>
      <c r="D13" s="12">
        <v>0</v>
      </c>
      <c r="E13" s="12">
        <f>C13-D13</f>
        <v>2398.1589163158678</v>
      </c>
      <c r="F13" s="12">
        <f>D8-E13</f>
        <v>7601.8410836841322</v>
      </c>
      <c r="H13" s="180" t="s">
        <v>197</v>
      </c>
      <c r="I13" s="180"/>
      <c r="J13" s="180"/>
      <c r="K13" s="180"/>
    </row>
    <row r="14" spans="1:15" x14ac:dyDescent="0.25">
      <c r="B14" s="44">
        <v>1</v>
      </c>
      <c r="C14" s="12">
        <f t="shared" ref="C14:C17" si="0">$D$10</f>
        <v>2398.1589163158678</v>
      </c>
      <c r="D14" s="12">
        <f>F13*$D$7</f>
        <v>760.18410836841326</v>
      </c>
      <c r="E14" s="12">
        <f>C14-D14</f>
        <v>1637.9748079474546</v>
      </c>
      <c r="F14" s="12">
        <f>F13-E14</f>
        <v>5963.8662757366774</v>
      </c>
      <c r="H14" s="180"/>
      <c r="I14" s="180"/>
      <c r="J14" s="180"/>
      <c r="K14" s="180"/>
    </row>
    <row r="15" spans="1:15" x14ac:dyDescent="0.25">
      <c r="B15" s="44">
        <v>2</v>
      </c>
      <c r="C15" s="12">
        <f t="shared" si="0"/>
        <v>2398.1589163158678</v>
      </c>
      <c r="D15" s="12">
        <f t="shared" ref="D15:D17" si="1">F14*$D$7</f>
        <v>596.38662757366774</v>
      </c>
      <c r="E15" s="12">
        <f t="shared" ref="E15:E17" si="2">C15-D15</f>
        <v>1801.7722887422001</v>
      </c>
      <c r="F15" s="12">
        <f t="shared" ref="F15:F17" si="3">F14-E15</f>
        <v>4162.0939869944777</v>
      </c>
    </row>
    <row r="16" spans="1:15" x14ac:dyDescent="0.25">
      <c r="B16" s="44">
        <v>3</v>
      </c>
      <c r="C16" s="12">
        <f t="shared" si="0"/>
        <v>2398.1589163158678</v>
      </c>
      <c r="D16" s="12">
        <f t="shared" si="1"/>
        <v>416.20939869944777</v>
      </c>
      <c r="E16" s="12">
        <f t="shared" si="2"/>
        <v>1981.9495176164201</v>
      </c>
      <c r="F16" s="12">
        <f t="shared" si="3"/>
        <v>2180.1444693780577</v>
      </c>
    </row>
    <row r="17" spans="2:6" x14ac:dyDescent="0.25">
      <c r="B17" s="44">
        <v>4</v>
      </c>
      <c r="C17" s="12">
        <f t="shared" si="0"/>
        <v>2398.1589163158678</v>
      </c>
      <c r="D17" s="12">
        <f t="shared" si="1"/>
        <v>218.01444693780579</v>
      </c>
      <c r="E17" s="12">
        <f t="shared" si="2"/>
        <v>2180.1444693780622</v>
      </c>
      <c r="F17" s="12">
        <f t="shared" si="3"/>
        <v>-4.5474735088646412E-12</v>
      </c>
    </row>
    <row r="18" spans="2:6" x14ac:dyDescent="0.25">
      <c r="B18" s="44">
        <v>5</v>
      </c>
      <c r="C18" s="44"/>
      <c r="D18" s="217"/>
      <c r="E18" s="217"/>
      <c r="F18" s="217"/>
    </row>
  </sheetData>
  <mergeCells count="7">
    <mergeCell ref="H13:K14"/>
    <mergeCell ref="B1:H1"/>
    <mergeCell ref="A3:O5"/>
    <mergeCell ref="B7:C7"/>
    <mergeCell ref="B8:C8"/>
    <mergeCell ref="B9:C9"/>
    <mergeCell ref="B10:C10"/>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opLeftCell="A4" zoomScale="90" zoomScaleNormal="90" workbookViewId="0">
      <selection activeCell="B1" sqref="B1:H1"/>
    </sheetView>
  </sheetViews>
  <sheetFormatPr baseColWidth="10" defaultRowHeight="15" x14ac:dyDescent="0.25"/>
  <cols>
    <col min="4" max="4" width="14.140625" bestFit="1" customWidth="1"/>
    <col min="5" max="5" width="12.140625" customWidth="1"/>
    <col min="6" max="7" width="13.85546875" bestFit="1" customWidth="1"/>
    <col min="8" max="8" width="12.140625" bestFit="1" customWidth="1"/>
  </cols>
  <sheetData>
    <row r="1" spans="1:18" s="104" customFormat="1" ht="23.25" x14ac:dyDescent="0.35">
      <c r="B1" s="260" t="s">
        <v>225</v>
      </c>
      <c r="C1" s="261"/>
      <c r="D1" s="261"/>
      <c r="E1" s="261"/>
      <c r="F1" s="261"/>
      <c r="G1" s="261"/>
      <c r="H1" s="261"/>
    </row>
    <row r="3" spans="1:18" x14ac:dyDescent="0.25">
      <c r="A3" s="164" t="s">
        <v>226</v>
      </c>
      <c r="B3" s="164"/>
      <c r="C3" s="164"/>
      <c r="D3" s="164"/>
      <c r="E3" s="164"/>
      <c r="F3" s="164"/>
      <c r="G3" s="164"/>
      <c r="H3" s="164"/>
      <c r="I3" s="164"/>
      <c r="J3" s="164"/>
      <c r="K3" s="164"/>
      <c r="L3" s="164"/>
      <c r="M3" s="164"/>
      <c r="N3" s="164"/>
      <c r="O3" s="164"/>
      <c r="P3" s="164"/>
      <c r="Q3" s="164"/>
      <c r="R3" s="164"/>
    </row>
    <row r="4" spans="1:18" x14ac:dyDescent="0.25">
      <c r="A4" s="164"/>
      <c r="B4" s="164"/>
      <c r="C4" s="164"/>
      <c r="D4" s="164"/>
      <c r="E4" s="164"/>
      <c r="F4" s="164"/>
      <c r="G4" s="164"/>
      <c r="H4" s="164"/>
      <c r="I4" s="164"/>
      <c r="J4" s="164"/>
      <c r="K4" s="164"/>
      <c r="L4" s="164"/>
      <c r="M4" s="164"/>
      <c r="N4" s="164"/>
      <c r="O4" s="164"/>
      <c r="P4" s="164"/>
      <c r="Q4" s="164"/>
      <c r="R4" s="164"/>
    </row>
    <row r="5" spans="1:18" x14ac:dyDescent="0.25">
      <c r="A5" s="82"/>
      <c r="B5" s="82"/>
      <c r="C5" s="82"/>
      <c r="D5" s="82"/>
      <c r="E5" s="82"/>
      <c r="F5" s="82"/>
      <c r="G5" s="82"/>
      <c r="H5" s="82"/>
      <c r="I5" s="82"/>
      <c r="J5" s="82"/>
      <c r="K5" s="82"/>
      <c r="L5" s="82"/>
      <c r="M5" s="82"/>
      <c r="N5" s="82"/>
      <c r="O5" s="82"/>
      <c r="P5" s="82"/>
      <c r="Q5" s="82"/>
      <c r="R5" s="82"/>
    </row>
    <row r="6" spans="1:18" x14ac:dyDescent="0.25">
      <c r="A6" s="196" t="s">
        <v>227</v>
      </c>
      <c r="B6" s="196"/>
      <c r="C6" s="196"/>
      <c r="D6" s="196"/>
      <c r="E6" s="196"/>
      <c r="F6" s="196"/>
      <c r="G6" s="196"/>
      <c r="H6" s="196"/>
      <c r="I6" s="196"/>
      <c r="J6" s="196"/>
      <c r="K6" s="82"/>
      <c r="L6" s="82"/>
      <c r="M6" s="82"/>
      <c r="N6" s="82"/>
      <c r="O6" s="82"/>
      <c r="P6" s="82"/>
      <c r="Q6" s="82"/>
      <c r="R6" s="82"/>
    </row>
    <row r="8" spans="1:18" x14ac:dyDescent="0.25">
      <c r="B8" s="211" t="s">
        <v>64</v>
      </c>
      <c r="C8" s="211"/>
      <c r="D8" s="12">
        <v>3000000</v>
      </c>
    </row>
    <row r="9" spans="1:18" x14ac:dyDescent="0.25">
      <c r="B9" s="211" t="s">
        <v>190</v>
      </c>
      <c r="C9" s="211"/>
      <c r="D9" s="11">
        <v>2.2800000000000001E-2</v>
      </c>
      <c r="E9" t="s">
        <v>219</v>
      </c>
    </row>
    <row r="10" spans="1:18" x14ac:dyDescent="0.25">
      <c r="B10" s="211" t="s">
        <v>110</v>
      </c>
      <c r="C10" s="211"/>
      <c r="D10" s="262">
        <v>354520.67074615607</v>
      </c>
    </row>
    <row r="12" spans="1:18" x14ac:dyDescent="0.25">
      <c r="B12" s="216" t="s">
        <v>228</v>
      </c>
      <c r="C12" s="216" t="s">
        <v>110</v>
      </c>
      <c r="D12" s="216" t="s">
        <v>206</v>
      </c>
      <c r="E12" s="216" t="s">
        <v>195</v>
      </c>
      <c r="F12" s="216" t="s">
        <v>196</v>
      </c>
    </row>
    <row r="13" spans="1:18" x14ac:dyDescent="0.25">
      <c r="A13" t="s">
        <v>229</v>
      </c>
      <c r="B13" s="80">
        <v>0</v>
      </c>
      <c r="C13" s="80"/>
      <c r="D13" s="80"/>
      <c r="E13" s="80"/>
      <c r="F13" s="29">
        <v>3000000</v>
      </c>
    </row>
    <row r="14" spans="1:18" x14ac:dyDescent="0.25">
      <c r="A14" t="s">
        <v>230</v>
      </c>
      <c r="B14" s="80">
        <v>1</v>
      </c>
      <c r="C14" s="80"/>
      <c r="D14" s="263">
        <f>F13*$D$9</f>
        <v>68400</v>
      </c>
      <c r="E14" s="264">
        <f>C14-D14</f>
        <v>-68400</v>
      </c>
      <c r="F14" s="264">
        <f>F13-E14</f>
        <v>3068400</v>
      </c>
    </row>
    <row r="15" spans="1:18" x14ac:dyDescent="0.25">
      <c r="A15" t="s">
        <v>231</v>
      </c>
      <c r="B15" s="80">
        <v>2</v>
      </c>
      <c r="C15" s="80"/>
      <c r="D15" s="263">
        <f t="shared" ref="D15:D25" si="0">F14*$D$9</f>
        <v>69959.520000000004</v>
      </c>
      <c r="E15" s="264">
        <f t="shared" ref="E15:E25" si="1">C15-D15</f>
        <v>-69959.520000000004</v>
      </c>
      <c r="F15" s="264">
        <f t="shared" ref="F15:F25" si="2">F14-E15</f>
        <v>3138359.52</v>
      </c>
    </row>
    <row r="16" spans="1:18" x14ac:dyDescent="0.25">
      <c r="A16" t="s">
        <v>232</v>
      </c>
      <c r="B16" s="80">
        <v>3</v>
      </c>
      <c r="C16" s="29">
        <f>$D$10</f>
        <v>354520.67074615607</v>
      </c>
      <c r="D16" s="263">
        <f t="shared" si="0"/>
        <v>71554.597055999999</v>
      </c>
      <c r="E16" s="264">
        <f t="shared" si="1"/>
        <v>282966.0736901561</v>
      </c>
      <c r="F16" s="264">
        <f t="shared" si="2"/>
        <v>2855393.446309844</v>
      </c>
    </row>
    <row r="17" spans="1:11" x14ac:dyDescent="0.25">
      <c r="A17" t="s">
        <v>233</v>
      </c>
      <c r="B17" s="80">
        <v>4</v>
      </c>
      <c r="C17" s="29">
        <f>$D$10</f>
        <v>354520.67074615607</v>
      </c>
      <c r="D17" s="263">
        <f t="shared" si="0"/>
        <v>65102.970575864449</v>
      </c>
      <c r="E17" s="264">
        <f t="shared" si="1"/>
        <v>289417.70017029165</v>
      </c>
      <c r="F17" s="264">
        <f t="shared" si="2"/>
        <v>2565975.7461395524</v>
      </c>
    </row>
    <row r="18" spans="1:11" x14ac:dyDescent="0.25">
      <c r="A18" t="s">
        <v>234</v>
      </c>
      <c r="B18" s="80">
        <v>5</v>
      </c>
      <c r="C18" s="29">
        <f t="shared" ref="C18:C25" si="3">$D$10</f>
        <v>354520.67074615607</v>
      </c>
      <c r="D18" s="263">
        <f t="shared" si="0"/>
        <v>58504.247011981795</v>
      </c>
      <c r="E18" s="264">
        <f t="shared" si="1"/>
        <v>296016.42373417428</v>
      </c>
      <c r="F18" s="264">
        <f t="shared" si="2"/>
        <v>2269959.3224053783</v>
      </c>
    </row>
    <row r="19" spans="1:11" x14ac:dyDescent="0.25">
      <c r="A19" t="s">
        <v>235</v>
      </c>
      <c r="B19" s="80">
        <v>6</v>
      </c>
      <c r="C19" s="29">
        <f t="shared" si="3"/>
        <v>354520.67074615607</v>
      </c>
      <c r="D19" s="263">
        <f t="shared" si="0"/>
        <v>51755.072550842626</v>
      </c>
      <c r="E19" s="264">
        <f t="shared" si="1"/>
        <v>302765.59819531348</v>
      </c>
      <c r="F19" s="264">
        <f t="shared" si="2"/>
        <v>1967193.7242100649</v>
      </c>
    </row>
    <row r="20" spans="1:11" x14ac:dyDescent="0.25">
      <c r="A20" t="s">
        <v>236</v>
      </c>
      <c r="B20" s="80">
        <v>7</v>
      </c>
      <c r="C20" s="29">
        <f t="shared" si="3"/>
        <v>354520.67074615607</v>
      </c>
      <c r="D20" s="263">
        <f t="shared" si="0"/>
        <v>44852.016911989478</v>
      </c>
      <c r="E20" s="264">
        <f t="shared" si="1"/>
        <v>309668.65383416659</v>
      </c>
      <c r="F20" s="264">
        <f t="shared" si="2"/>
        <v>1657525.0703758984</v>
      </c>
    </row>
    <row r="21" spans="1:11" x14ac:dyDescent="0.25">
      <c r="A21" t="s">
        <v>237</v>
      </c>
      <c r="B21" s="80">
        <v>8</v>
      </c>
      <c r="C21" s="29">
        <f t="shared" si="3"/>
        <v>354520.67074615607</v>
      </c>
      <c r="D21" s="263">
        <f t="shared" si="0"/>
        <v>37791.571604570483</v>
      </c>
      <c r="E21" s="264">
        <f t="shared" si="1"/>
        <v>316729.09914158558</v>
      </c>
      <c r="F21" s="264">
        <f t="shared" si="2"/>
        <v>1340795.9712343127</v>
      </c>
    </row>
    <row r="22" spans="1:11" x14ac:dyDescent="0.25">
      <c r="A22" t="s">
        <v>238</v>
      </c>
      <c r="B22" s="80">
        <v>9</v>
      </c>
      <c r="C22" s="29">
        <f t="shared" si="3"/>
        <v>354520.67074615607</v>
      </c>
      <c r="D22" s="263">
        <f t="shared" si="0"/>
        <v>30570.148144142331</v>
      </c>
      <c r="E22" s="264">
        <f t="shared" si="1"/>
        <v>323950.52260201372</v>
      </c>
      <c r="F22" s="264">
        <f t="shared" si="2"/>
        <v>1016845.448632299</v>
      </c>
    </row>
    <row r="23" spans="1:11" x14ac:dyDescent="0.25">
      <c r="A23" t="s">
        <v>239</v>
      </c>
      <c r="B23" s="80">
        <v>10</v>
      </c>
      <c r="C23" s="29">
        <f t="shared" si="3"/>
        <v>354520.67074615607</v>
      </c>
      <c r="D23" s="263">
        <f t="shared" si="0"/>
        <v>23184.076228816419</v>
      </c>
      <c r="E23" s="264">
        <f t="shared" si="1"/>
        <v>331336.59451733966</v>
      </c>
      <c r="F23" s="264">
        <f t="shared" si="2"/>
        <v>685508.85411495925</v>
      </c>
    </row>
    <row r="24" spans="1:11" x14ac:dyDescent="0.25">
      <c r="A24" t="s">
        <v>240</v>
      </c>
      <c r="B24" s="80">
        <v>11</v>
      </c>
      <c r="C24" s="29">
        <f t="shared" si="3"/>
        <v>354520.67074615607</v>
      </c>
      <c r="D24" s="263">
        <f t="shared" si="0"/>
        <v>15629.601873821071</v>
      </c>
      <c r="E24" s="264">
        <f t="shared" si="1"/>
        <v>338891.06887233502</v>
      </c>
      <c r="F24" s="264">
        <f t="shared" si="2"/>
        <v>346617.78524262423</v>
      </c>
    </row>
    <row r="25" spans="1:11" ht="15.75" thickBot="1" x14ac:dyDescent="0.3">
      <c r="A25" t="s">
        <v>229</v>
      </c>
      <c r="B25" s="80">
        <v>12</v>
      </c>
      <c r="C25" s="29">
        <f t="shared" si="3"/>
        <v>354520.67074615607</v>
      </c>
      <c r="D25" s="265">
        <f t="shared" si="0"/>
        <v>7902.8855035318329</v>
      </c>
      <c r="E25" s="264">
        <f t="shared" si="1"/>
        <v>346617.78524262423</v>
      </c>
      <c r="F25" s="264">
        <f t="shared" si="2"/>
        <v>0</v>
      </c>
    </row>
    <row r="26" spans="1:11" ht="15.75" thickBot="1" x14ac:dyDescent="0.3">
      <c r="D26" s="266">
        <f>SUM(D14:D25)</f>
        <v>545206.70746156049</v>
      </c>
    </row>
    <row r="29" spans="1:11" x14ac:dyDescent="0.25">
      <c r="A29" s="224" t="s">
        <v>241</v>
      </c>
      <c r="B29" s="224"/>
      <c r="C29" s="224"/>
      <c r="D29" s="224"/>
      <c r="E29" s="224"/>
      <c r="F29" s="224"/>
      <c r="G29" s="224"/>
      <c r="H29" s="224"/>
      <c r="I29" s="224"/>
      <c r="J29" s="224"/>
      <c r="K29" s="224"/>
    </row>
    <row r="30" spans="1:11" x14ac:dyDescent="0.25">
      <c r="A30" s="224"/>
      <c r="B30" s="224"/>
      <c r="C30" s="224"/>
      <c r="D30" s="224"/>
      <c r="E30" s="224"/>
      <c r="F30" s="224"/>
      <c r="G30" s="224"/>
      <c r="H30" s="224"/>
      <c r="I30" s="224"/>
      <c r="J30" s="224"/>
      <c r="K30" s="224"/>
    </row>
    <row r="32" spans="1:11" x14ac:dyDescent="0.25">
      <c r="B32" s="211" t="s">
        <v>64</v>
      </c>
      <c r="C32" s="211"/>
      <c r="D32" s="12">
        <v>3000000</v>
      </c>
    </row>
    <row r="33" spans="2:7" x14ac:dyDescent="0.25">
      <c r="B33" s="211" t="s">
        <v>190</v>
      </c>
      <c r="C33" s="211"/>
      <c r="D33" s="11">
        <v>2.2800000000000001E-2</v>
      </c>
      <c r="E33" t="s">
        <v>219</v>
      </c>
    </row>
    <row r="34" spans="2:7" x14ac:dyDescent="0.25">
      <c r="B34" s="211" t="s">
        <v>110</v>
      </c>
      <c r="C34" s="211"/>
      <c r="D34" s="262">
        <v>288579.4212788216</v>
      </c>
    </row>
    <row r="37" spans="2:7" x14ac:dyDescent="0.25">
      <c r="C37" s="216" t="s">
        <v>228</v>
      </c>
      <c r="D37" s="216" t="s">
        <v>110</v>
      </c>
      <c r="E37" s="216" t="s">
        <v>206</v>
      </c>
      <c r="F37" s="216" t="s">
        <v>195</v>
      </c>
      <c r="G37" s="216" t="s">
        <v>196</v>
      </c>
    </row>
    <row r="38" spans="2:7" x14ac:dyDescent="0.25">
      <c r="B38" t="s">
        <v>229</v>
      </c>
      <c r="C38" s="80">
        <v>0</v>
      </c>
      <c r="D38" s="80"/>
      <c r="E38" s="80"/>
      <c r="F38" s="80"/>
      <c r="G38" s="29">
        <f>D32</f>
        <v>3000000</v>
      </c>
    </row>
    <row r="39" spans="2:7" x14ac:dyDescent="0.25">
      <c r="B39" t="s">
        <v>230</v>
      </c>
      <c r="C39" s="80">
        <v>1</v>
      </c>
      <c r="D39" s="267">
        <f>$D$34</f>
        <v>288579.4212788216</v>
      </c>
      <c r="E39" s="263">
        <f>G38*$D$33</f>
        <v>68400</v>
      </c>
      <c r="F39" s="264">
        <f>D39-E39</f>
        <v>220179.4212788216</v>
      </c>
      <c r="G39" s="264">
        <f>G38-F39</f>
        <v>2779820.5787211782</v>
      </c>
    </row>
    <row r="40" spans="2:7" x14ac:dyDescent="0.25">
      <c r="B40" t="s">
        <v>231</v>
      </c>
      <c r="C40" s="80">
        <v>2</v>
      </c>
      <c r="D40" s="267">
        <f t="shared" ref="D40:D50" si="4">$D$34</f>
        <v>288579.4212788216</v>
      </c>
      <c r="E40" s="263">
        <f t="shared" ref="E40:E50" si="5">G39*$D$33</f>
        <v>63379.909194842869</v>
      </c>
      <c r="F40" s="264">
        <f t="shared" ref="F40:F50" si="6">D40-E40</f>
        <v>225199.51208397874</v>
      </c>
      <c r="G40" s="264">
        <f t="shared" ref="G40:G50" si="7">G39-F40</f>
        <v>2554621.0666371994</v>
      </c>
    </row>
    <row r="41" spans="2:7" x14ac:dyDescent="0.25">
      <c r="B41" t="s">
        <v>232</v>
      </c>
      <c r="C41" s="80">
        <v>3</v>
      </c>
      <c r="D41" s="267">
        <f t="shared" si="4"/>
        <v>288579.4212788216</v>
      </c>
      <c r="E41" s="263">
        <f t="shared" si="5"/>
        <v>58245.360319328145</v>
      </c>
      <c r="F41" s="264">
        <f t="shared" si="6"/>
        <v>230334.06095949345</v>
      </c>
      <c r="G41" s="264">
        <f t="shared" si="7"/>
        <v>2324287.0056777061</v>
      </c>
    </row>
    <row r="42" spans="2:7" x14ac:dyDescent="0.25">
      <c r="B42" t="s">
        <v>233</v>
      </c>
      <c r="C42" s="80">
        <v>4</v>
      </c>
      <c r="D42" s="267">
        <f t="shared" si="4"/>
        <v>288579.4212788216</v>
      </c>
      <c r="E42" s="263">
        <f t="shared" si="5"/>
        <v>52993.7437294517</v>
      </c>
      <c r="F42" s="264">
        <f t="shared" si="6"/>
        <v>235585.6775493699</v>
      </c>
      <c r="G42" s="264">
        <f t="shared" si="7"/>
        <v>2088701.3281283362</v>
      </c>
    </row>
    <row r="43" spans="2:7" x14ac:dyDescent="0.25">
      <c r="B43" t="s">
        <v>234</v>
      </c>
      <c r="C43" s="80">
        <v>5</v>
      </c>
      <c r="D43" s="267">
        <f t="shared" si="4"/>
        <v>288579.4212788216</v>
      </c>
      <c r="E43" s="263">
        <f t="shared" si="5"/>
        <v>47622.390281326065</v>
      </c>
      <c r="F43" s="264">
        <f t="shared" si="6"/>
        <v>240957.03099749552</v>
      </c>
      <c r="G43" s="264">
        <f t="shared" si="7"/>
        <v>1847744.2971308408</v>
      </c>
    </row>
    <row r="44" spans="2:7" x14ac:dyDescent="0.25">
      <c r="B44" t="s">
        <v>235</v>
      </c>
      <c r="C44" s="80">
        <v>6</v>
      </c>
      <c r="D44" s="267">
        <f t="shared" si="4"/>
        <v>288579.4212788216</v>
      </c>
      <c r="E44" s="263">
        <f t="shared" si="5"/>
        <v>42128.569974583173</v>
      </c>
      <c r="F44" s="264">
        <f t="shared" si="6"/>
        <v>246450.85130423843</v>
      </c>
      <c r="G44" s="264">
        <f t="shared" si="7"/>
        <v>1601293.4458266024</v>
      </c>
    </row>
    <row r="45" spans="2:7" x14ac:dyDescent="0.25">
      <c r="B45" t="s">
        <v>236</v>
      </c>
      <c r="C45" s="80">
        <v>7</v>
      </c>
      <c r="D45" s="267">
        <f t="shared" si="4"/>
        <v>288579.4212788216</v>
      </c>
      <c r="E45" s="263">
        <f t="shared" si="5"/>
        <v>36509.490564846536</v>
      </c>
      <c r="F45" s="264">
        <f t="shared" si="6"/>
        <v>252069.93071397505</v>
      </c>
      <c r="G45" s="264">
        <f t="shared" si="7"/>
        <v>1349223.5151126273</v>
      </c>
    </row>
    <row r="46" spans="2:7" x14ac:dyDescent="0.25">
      <c r="B46" t="s">
        <v>237</v>
      </c>
      <c r="C46" s="80">
        <v>8</v>
      </c>
      <c r="D46" s="267">
        <f t="shared" si="4"/>
        <v>288579.4212788216</v>
      </c>
      <c r="E46" s="263">
        <f t="shared" si="5"/>
        <v>30762.296144567903</v>
      </c>
      <c r="F46" s="264">
        <f t="shared" si="6"/>
        <v>257817.1251342537</v>
      </c>
      <c r="G46" s="264">
        <f t="shared" si="7"/>
        <v>1091406.3899783737</v>
      </c>
    </row>
    <row r="47" spans="2:7" x14ac:dyDescent="0.25">
      <c r="B47" t="s">
        <v>238</v>
      </c>
      <c r="C47" s="80">
        <v>9</v>
      </c>
      <c r="D47" s="267">
        <f t="shared" si="4"/>
        <v>288579.4212788216</v>
      </c>
      <c r="E47" s="263">
        <f t="shared" si="5"/>
        <v>24884.065691506919</v>
      </c>
      <c r="F47" s="264">
        <f t="shared" si="6"/>
        <v>263695.3555873147</v>
      </c>
      <c r="G47" s="264">
        <f t="shared" si="7"/>
        <v>827711.03439105896</v>
      </c>
    </row>
    <row r="48" spans="2:7" x14ac:dyDescent="0.25">
      <c r="B48" t="s">
        <v>239</v>
      </c>
      <c r="C48" s="80">
        <v>10</v>
      </c>
      <c r="D48" s="267">
        <f t="shared" si="4"/>
        <v>288579.4212788216</v>
      </c>
      <c r="E48" s="263">
        <f t="shared" si="5"/>
        <v>18871.811584116145</v>
      </c>
      <c r="F48" s="264">
        <f t="shared" si="6"/>
        <v>269707.60969470546</v>
      </c>
      <c r="G48" s="264">
        <f t="shared" si="7"/>
        <v>558003.4246963535</v>
      </c>
    </row>
    <row r="49" spans="1:10" x14ac:dyDescent="0.25">
      <c r="B49" t="s">
        <v>240</v>
      </c>
      <c r="C49" s="80">
        <v>11</v>
      </c>
      <c r="D49" s="267">
        <f t="shared" si="4"/>
        <v>288579.4212788216</v>
      </c>
      <c r="E49" s="263">
        <f t="shared" si="5"/>
        <v>12722.47808307686</v>
      </c>
      <c r="F49" s="264">
        <f t="shared" si="6"/>
        <v>275856.94319574471</v>
      </c>
      <c r="G49" s="264">
        <f t="shared" si="7"/>
        <v>282146.48150060879</v>
      </c>
    </row>
    <row r="50" spans="1:10" ht="15.75" thickBot="1" x14ac:dyDescent="0.3">
      <c r="B50" t="s">
        <v>229</v>
      </c>
      <c r="C50" s="80">
        <v>12</v>
      </c>
      <c r="D50" s="267">
        <f t="shared" si="4"/>
        <v>288579.4212788216</v>
      </c>
      <c r="E50" s="265">
        <f t="shared" si="5"/>
        <v>6432.9397782138803</v>
      </c>
      <c r="F50" s="264">
        <f t="shared" si="6"/>
        <v>282146.48150060774</v>
      </c>
      <c r="G50" s="264">
        <f t="shared" si="7"/>
        <v>1.0477378964424133E-9</v>
      </c>
    </row>
    <row r="51" spans="1:10" ht="15.75" thickBot="1" x14ac:dyDescent="0.3">
      <c r="E51" s="266">
        <f>+SUM(E39:E50)</f>
        <v>462953.05534586014</v>
      </c>
    </row>
    <row r="54" spans="1:10" x14ac:dyDescent="0.25">
      <c r="A54" s="268" t="s">
        <v>242</v>
      </c>
      <c r="B54" s="268"/>
      <c r="C54" s="268"/>
      <c r="D54" s="268"/>
      <c r="E54" s="268"/>
      <c r="F54" s="268"/>
      <c r="G54" s="268"/>
      <c r="H54" s="268"/>
      <c r="I54" s="268"/>
      <c r="J54" s="268"/>
    </row>
    <row r="55" spans="1:10" x14ac:dyDescent="0.25">
      <c r="A55" s="35"/>
      <c r="B55" s="35"/>
      <c r="C55" s="35"/>
      <c r="D55" s="35"/>
      <c r="E55" s="35"/>
      <c r="F55" s="35"/>
      <c r="G55" s="35"/>
      <c r="H55" s="35"/>
      <c r="I55" s="35"/>
      <c r="J55" s="35"/>
    </row>
    <row r="56" spans="1:10" x14ac:dyDescent="0.25">
      <c r="A56" s="35"/>
      <c r="B56" s="35"/>
      <c r="C56" s="35"/>
      <c r="D56" s="35"/>
      <c r="E56" s="35"/>
      <c r="F56" s="35"/>
      <c r="G56" s="35"/>
      <c r="H56" s="35"/>
      <c r="I56" s="35"/>
      <c r="J56" s="35"/>
    </row>
    <row r="57" spans="1:10" x14ac:dyDescent="0.25">
      <c r="A57" s="35"/>
      <c r="B57" s="202" t="s">
        <v>243</v>
      </c>
      <c r="C57" s="202"/>
      <c r="D57" s="269">
        <f>D26</f>
        <v>545206.70746156049</v>
      </c>
      <c r="E57" s="35"/>
      <c r="F57" s="202" t="s">
        <v>244</v>
      </c>
      <c r="G57" s="202"/>
      <c r="H57" s="269">
        <f>E51</f>
        <v>462953.05534586014</v>
      </c>
      <c r="I57" s="35"/>
      <c r="J57" s="35"/>
    </row>
    <row r="58" spans="1:10" ht="15.75" thickBot="1" x14ac:dyDescent="0.3"/>
    <row r="59" spans="1:10" ht="15.75" thickBot="1" x14ac:dyDescent="0.3">
      <c r="B59" t="s">
        <v>245</v>
      </c>
      <c r="C59" s="270">
        <f>D26-E51</f>
        <v>82253.652115700359</v>
      </c>
    </row>
    <row r="62" spans="1:10" x14ac:dyDescent="0.25">
      <c r="B62" s="180" t="s">
        <v>246</v>
      </c>
      <c r="C62" s="180"/>
      <c r="D62" s="180"/>
      <c r="E62" s="180"/>
      <c r="F62" s="180"/>
      <c r="G62" s="180"/>
    </row>
    <row r="63" spans="1:10" x14ac:dyDescent="0.25">
      <c r="B63" s="180"/>
      <c r="C63" s="180"/>
      <c r="D63" s="180"/>
      <c r="E63" s="180"/>
      <c r="F63" s="180"/>
      <c r="G63" s="180"/>
    </row>
    <row r="65" spans="2:7" x14ac:dyDescent="0.25">
      <c r="B65" s="180" t="s">
        <v>247</v>
      </c>
      <c r="C65" s="180"/>
      <c r="D65" s="180"/>
      <c r="E65" s="180"/>
      <c r="F65" s="180"/>
      <c r="G65" s="180"/>
    </row>
    <row r="66" spans="2:7" x14ac:dyDescent="0.25">
      <c r="B66" s="180"/>
      <c r="C66" s="180"/>
      <c r="D66" s="180"/>
      <c r="E66" s="180"/>
      <c r="F66" s="180"/>
      <c r="G66" s="180"/>
    </row>
  </sheetData>
  <mergeCells count="15">
    <mergeCell ref="B62:G63"/>
    <mergeCell ref="B65:G66"/>
    <mergeCell ref="A29:K30"/>
    <mergeCell ref="B32:C32"/>
    <mergeCell ref="B33:C33"/>
    <mergeCell ref="B34:C34"/>
    <mergeCell ref="A54:J54"/>
    <mergeCell ref="B57:C57"/>
    <mergeCell ref="F57:G57"/>
    <mergeCell ref="B1:H1"/>
    <mergeCell ref="A3:R4"/>
    <mergeCell ref="A6:J6"/>
    <mergeCell ref="B8:C8"/>
    <mergeCell ref="B9:C9"/>
    <mergeCell ref="B10:C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J16" sqref="J16"/>
    </sheetView>
  </sheetViews>
  <sheetFormatPr baseColWidth="10" defaultRowHeight="15" x14ac:dyDescent="0.25"/>
  <sheetData>
    <row r="1" spans="1:14" ht="23.25" x14ac:dyDescent="0.35">
      <c r="B1" s="260" t="s">
        <v>248</v>
      </c>
      <c r="C1" s="261"/>
      <c r="D1" s="261"/>
      <c r="E1" s="261"/>
      <c r="F1" s="261"/>
      <c r="G1" s="261"/>
      <c r="H1" s="261"/>
      <c r="I1" s="261"/>
      <c r="J1" s="261"/>
    </row>
    <row r="3" spans="1:14" x14ac:dyDescent="0.25">
      <c r="A3" s="271" t="s">
        <v>249</v>
      </c>
      <c r="B3" s="202"/>
      <c r="C3" s="202"/>
      <c r="D3" s="202"/>
      <c r="E3" s="202"/>
      <c r="F3" s="202"/>
      <c r="G3" s="202"/>
      <c r="H3" s="202"/>
      <c r="I3" s="202"/>
      <c r="J3" s="202"/>
      <c r="K3" s="202"/>
      <c r="L3" s="202"/>
      <c r="M3" s="202"/>
      <c r="N3" s="202"/>
    </row>
    <row r="5" spans="1:14" x14ac:dyDescent="0.25">
      <c r="B5" t="s">
        <v>109</v>
      </c>
      <c r="C5" s="24">
        <v>10000000</v>
      </c>
      <c r="F5" s="165" t="s">
        <v>250</v>
      </c>
      <c r="G5" s="165"/>
      <c r="H5" s="165"/>
    </row>
    <row r="6" spans="1:14" x14ac:dyDescent="0.25">
      <c r="B6" t="s">
        <v>213</v>
      </c>
      <c r="C6" s="223">
        <v>0.15</v>
      </c>
      <c r="D6" t="s">
        <v>251</v>
      </c>
      <c r="G6" s="165"/>
    </row>
    <row r="7" spans="1:14" x14ac:dyDescent="0.25">
      <c r="B7" t="s">
        <v>252</v>
      </c>
      <c r="C7" t="s">
        <v>253</v>
      </c>
      <c r="G7" s="165"/>
    </row>
    <row r="8" spans="1:14" ht="15.75" thickBot="1" x14ac:dyDescent="0.3">
      <c r="G8" s="165"/>
    </row>
    <row r="9" spans="1:14" ht="15.75" thickBot="1" x14ac:dyDescent="0.3">
      <c r="B9" s="238" t="s">
        <v>254</v>
      </c>
      <c r="C9" s="239"/>
      <c r="D9" s="240">
        <f>C5/C6</f>
        <v>66666666.666666672</v>
      </c>
    </row>
    <row r="12" spans="1:14" x14ac:dyDescent="0.25">
      <c r="B12" s="180" t="s">
        <v>255</v>
      </c>
      <c r="C12" s="180"/>
      <c r="D12" s="180"/>
      <c r="E12" s="180"/>
      <c r="F12" s="180"/>
    </row>
    <row r="13" spans="1:14" x14ac:dyDescent="0.25">
      <c r="B13" s="180"/>
      <c r="C13" s="180"/>
      <c r="D13" s="180"/>
      <c r="E13" s="180"/>
      <c r="F13" s="180"/>
    </row>
  </sheetData>
  <mergeCells count="6">
    <mergeCell ref="B1:J1"/>
    <mergeCell ref="A3:N3"/>
    <mergeCell ref="F5:H5"/>
    <mergeCell ref="G6:G8"/>
    <mergeCell ref="B9:C9"/>
    <mergeCell ref="B12:F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3" workbookViewId="0">
      <selection activeCell="D11" sqref="D11"/>
    </sheetView>
  </sheetViews>
  <sheetFormatPr baseColWidth="10" defaultRowHeight="15" x14ac:dyDescent="0.25"/>
  <sheetData>
    <row r="1" spans="1:17" ht="23.25" x14ac:dyDescent="0.35">
      <c r="B1" s="177" t="s">
        <v>9</v>
      </c>
      <c r="C1" s="177"/>
      <c r="D1" s="177"/>
      <c r="E1" s="177"/>
      <c r="F1" s="177"/>
    </row>
    <row r="4" spans="1:17" x14ac:dyDescent="0.25">
      <c r="A4" s="2" t="s">
        <v>8</v>
      </c>
      <c r="B4" s="178" t="s">
        <v>10</v>
      </c>
      <c r="C4" s="178"/>
      <c r="D4" s="178"/>
      <c r="E4" s="178"/>
      <c r="F4" s="178"/>
      <c r="G4" s="178"/>
      <c r="H4" s="178"/>
      <c r="I4" s="178"/>
      <c r="J4" s="178"/>
      <c r="K4" s="178"/>
    </row>
    <row r="5" spans="1:17" x14ac:dyDescent="0.25">
      <c r="B5" s="178" t="s">
        <v>11</v>
      </c>
      <c r="C5" s="178"/>
      <c r="D5" s="178"/>
      <c r="E5" s="178"/>
      <c r="F5" s="178"/>
    </row>
    <row r="6" spans="1:17" ht="16.5" thickBot="1" x14ac:dyDescent="0.3">
      <c r="B6" s="3"/>
      <c r="C6" s="3"/>
      <c r="D6" s="3"/>
      <c r="E6" s="3"/>
      <c r="F6" s="3"/>
    </row>
    <row r="7" spans="1:17" ht="16.5" thickBot="1" x14ac:dyDescent="0.3">
      <c r="B7" s="166" t="s">
        <v>18</v>
      </c>
      <c r="C7" s="167"/>
      <c r="D7" s="85">
        <v>5000</v>
      </c>
      <c r="E7" s="3"/>
      <c r="F7" s="168" t="s">
        <v>19</v>
      </c>
      <c r="G7" s="168"/>
      <c r="H7" s="165"/>
      <c r="I7" s="165"/>
      <c r="K7" s="170" t="s">
        <v>20</v>
      </c>
      <c r="L7" s="170"/>
      <c r="M7" s="170"/>
      <c r="N7" s="170"/>
      <c r="O7" s="170"/>
      <c r="P7" s="170"/>
      <c r="Q7" s="170"/>
    </row>
    <row r="8" spans="1:17" x14ac:dyDescent="0.25">
      <c r="K8" s="165"/>
      <c r="L8" s="165"/>
      <c r="M8" s="165"/>
      <c r="N8" s="165"/>
    </row>
    <row r="9" spans="1:17" x14ac:dyDescent="0.25">
      <c r="B9" s="7" t="s">
        <v>12</v>
      </c>
      <c r="C9" s="7" t="s">
        <v>13</v>
      </c>
      <c r="D9" s="7" t="s">
        <v>14</v>
      </c>
    </row>
    <row r="10" spans="1:17" x14ac:dyDescent="0.25">
      <c r="B10" s="8">
        <v>2000</v>
      </c>
      <c r="C10" s="9">
        <v>8.7499999999999994E-2</v>
      </c>
      <c r="D10" s="13">
        <v>5000</v>
      </c>
    </row>
    <row r="11" spans="1:17" x14ac:dyDescent="0.25">
      <c r="B11" s="8">
        <v>2001</v>
      </c>
      <c r="C11" s="9">
        <v>7.6499999999999999E-2</v>
      </c>
      <c r="D11" s="13">
        <f>$D$7*(1+C10)</f>
        <v>5437.5</v>
      </c>
      <c r="E11" s="169" t="s">
        <v>22</v>
      </c>
      <c r="F11" s="170"/>
      <c r="G11" s="170"/>
      <c r="H11" s="170"/>
    </row>
    <row r="12" spans="1:17" x14ac:dyDescent="0.25">
      <c r="B12" s="8">
        <v>2002</v>
      </c>
      <c r="C12" s="9">
        <v>6.9900000000000004E-2</v>
      </c>
      <c r="D12" s="13">
        <f>D11*(1+C11)</f>
        <v>5853.46875</v>
      </c>
    </row>
    <row r="13" spans="1:17" x14ac:dyDescent="0.25">
      <c r="B13" s="8">
        <v>2003</v>
      </c>
      <c r="C13" s="9">
        <v>6.4899999999999999E-2</v>
      </c>
      <c r="D13" s="13">
        <f t="shared" ref="D13:D29" si="0">D12*(1+C12)</f>
        <v>6262.6262156250004</v>
      </c>
    </row>
    <row r="14" spans="1:17" x14ac:dyDescent="0.25">
      <c r="B14" s="8">
        <v>2004</v>
      </c>
      <c r="C14" s="9">
        <v>5.5E-2</v>
      </c>
      <c r="D14" s="13">
        <f t="shared" si="0"/>
        <v>6669.0706570190623</v>
      </c>
    </row>
    <row r="15" spans="1:17" x14ac:dyDescent="0.25">
      <c r="B15" s="8">
        <v>2005</v>
      </c>
      <c r="C15" s="9">
        <v>4.8500000000000001E-2</v>
      </c>
      <c r="D15" s="13">
        <f t="shared" si="0"/>
        <v>7035.8695431551105</v>
      </c>
    </row>
    <row r="16" spans="1:17" x14ac:dyDescent="0.25">
      <c r="B16" s="8">
        <v>2006</v>
      </c>
      <c r="C16" s="9">
        <v>4.48E-2</v>
      </c>
      <c r="D16" s="13">
        <f t="shared" si="0"/>
        <v>7377.1092159981335</v>
      </c>
    </row>
    <row r="17" spans="2:12" x14ac:dyDescent="0.25">
      <c r="B17" s="8">
        <v>2007</v>
      </c>
      <c r="C17" s="9">
        <v>5.6899999999999999E-2</v>
      </c>
      <c r="D17" s="13">
        <f t="shared" si="0"/>
        <v>7707.6037088748499</v>
      </c>
      <c r="F17" s="6">
        <v>8.7499999999999994E-2</v>
      </c>
      <c r="G17" s="6">
        <v>7.6499999999999999E-2</v>
      </c>
      <c r="H17" s="6">
        <v>6.9900000000000004E-2</v>
      </c>
      <c r="I17" s="1" t="s">
        <v>23</v>
      </c>
      <c r="J17" s="6">
        <v>5.7500000000000002E-2</v>
      </c>
      <c r="K17" s="6">
        <v>4.0899999999999999E-2</v>
      </c>
      <c r="L17" s="6">
        <v>3.1800000000000002E-2</v>
      </c>
    </row>
    <row r="18" spans="2:12" x14ac:dyDescent="0.25">
      <c r="B18" s="8">
        <v>2008</v>
      </c>
      <c r="C18" s="9">
        <v>7.6700000000000004E-2</v>
      </c>
      <c r="D18" s="13">
        <f t="shared" si="0"/>
        <v>8146.1663599098283</v>
      </c>
    </row>
    <row r="19" spans="2:12" x14ac:dyDescent="0.25">
      <c r="B19" s="8">
        <v>2009</v>
      </c>
      <c r="C19" s="9">
        <v>0.02</v>
      </c>
      <c r="D19" s="13">
        <f t="shared" si="0"/>
        <v>8770.9773197149116</v>
      </c>
      <c r="F19" s="176" t="s">
        <v>141</v>
      </c>
      <c r="G19" s="176"/>
      <c r="H19" s="176"/>
      <c r="I19" s="81"/>
      <c r="J19" s="81"/>
      <c r="K19" s="81"/>
      <c r="L19" s="81"/>
    </row>
    <row r="20" spans="2:12" x14ac:dyDescent="0.25">
      <c r="B20" s="8">
        <v>2010</v>
      </c>
      <c r="C20" s="9">
        <v>3.1699999999999999E-2</v>
      </c>
      <c r="D20" s="13">
        <f t="shared" si="0"/>
        <v>8946.3968661092094</v>
      </c>
      <c r="F20" s="176"/>
      <c r="G20" s="176"/>
      <c r="H20" s="176"/>
      <c r="I20" s="81"/>
      <c r="J20" s="81"/>
      <c r="K20" s="81"/>
      <c r="L20" s="81"/>
    </row>
    <row r="21" spans="2:12" x14ac:dyDescent="0.25">
      <c r="B21" s="8">
        <v>2011</v>
      </c>
      <c r="C21" s="9">
        <v>3.73E-2</v>
      </c>
      <c r="D21" s="13">
        <f t="shared" si="0"/>
        <v>9229.9976467648721</v>
      </c>
      <c r="F21" s="176"/>
      <c r="G21" s="176"/>
      <c r="H21" s="176"/>
      <c r="I21" s="81"/>
      <c r="J21" s="81"/>
      <c r="K21" s="81"/>
      <c r="L21" s="81"/>
    </row>
    <row r="22" spans="2:12" x14ac:dyDescent="0.25">
      <c r="B22" s="8">
        <v>2012</v>
      </c>
      <c r="C22" s="9">
        <v>3.44E-2</v>
      </c>
      <c r="D22" s="13">
        <f t="shared" si="0"/>
        <v>9574.2765589892024</v>
      </c>
      <c r="F22" s="81"/>
      <c r="G22" s="81"/>
      <c r="H22" s="81"/>
      <c r="I22" s="81"/>
      <c r="J22" s="81"/>
      <c r="K22" s="81"/>
      <c r="L22" s="81"/>
    </row>
    <row r="23" spans="2:12" x14ac:dyDescent="0.25">
      <c r="B23" s="8">
        <v>2013</v>
      </c>
      <c r="C23" s="9">
        <v>1.9400000000000001E-2</v>
      </c>
      <c r="D23" s="13">
        <f t="shared" si="0"/>
        <v>9903.6316726184305</v>
      </c>
      <c r="F23" s="81"/>
      <c r="G23" s="81"/>
      <c r="H23" s="81"/>
      <c r="I23" s="81"/>
      <c r="J23" s="81"/>
      <c r="K23" s="81"/>
      <c r="L23" s="81"/>
    </row>
    <row r="24" spans="2:12" x14ac:dyDescent="0.25">
      <c r="B24" s="8">
        <v>2014</v>
      </c>
      <c r="C24" s="9">
        <v>3.6600000000000001E-2</v>
      </c>
      <c r="D24" s="13">
        <f t="shared" si="0"/>
        <v>10095.762127067228</v>
      </c>
    </row>
    <row r="25" spans="2:12" x14ac:dyDescent="0.25">
      <c r="B25" s="8">
        <v>2015</v>
      </c>
      <c r="C25" s="9">
        <v>6.7699999999999996E-2</v>
      </c>
      <c r="D25" s="13">
        <f t="shared" si="0"/>
        <v>10465.267020917889</v>
      </c>
    </row>
    <row r="26" spans="2:12" x14ac:dyDescent="0.25">
      <c r="B26" s="8">
        <v>2016</v>
      </c>
      <c r="C26" s="9">
        <v>5.7500000000000002E-2</v>
      </c>
      <c r="D26" s="13">
        <f t="shared" si="0"/>
        <v>11173.765598234031</v>
      </c>
    </row>
    <row r="27" spans="2:12" x14ac:dyDescent="0.25">
      <c r="B27" s="8">
        <v>2017</v>
      </c>
      <c r="C27" s="9">
        <v>4.0899999999999999E-2</v>
      </c>
      <c r="D27" s="13">
        <f t="shared" si="0"/>
        <v>11816.25712013249</v>
      </c>
    </row>
    <row r="28" spans="2:12" x14ac:dyDescent="0.25">
      <c r="B28" s="8">
        <v>2018</v>
      </c>
      <c r="C28" s="9">
        <v>3.1800000000000002E-2</v>
      </c>
      <c r="D28" s="13">
        <f t="shared" si="0"/>
        <v>12299.542036345909</v>
      </c>
    </row>
    <row r="29" spans="2:12" x14ac:dyDescent="0.25">
      <c r="B29" s="10">
        <v>2019</v>
      </c>
      <c r="C29" s="11"/>
      <c r="D29" s="14">
        <f t="shared" si="0"/>
        <v>12690.66747310171</v>
      </c>
      <c r="E29" s="169" t="s">
        <v>21</v>
      </c>
      <c r="F29" s="170"/>
      <c r="G29" s="170"/>
    </row>
    <row r="30" spans="2:12" x14ac:dyDescent="0.25">
      <c r="B30" s="15"/>
      <c r="C30" s="16"/>
      <c r="D30" s="19"/>
      <c r="E30" s="17"/>
      <c r="F30" s="18"/>
      <c r="G30" s="18"/>
    </row>
    <row r="31" spans="2:12" x14ac:dyDescent="0.25">
      <c r="B31" s="165" t="s">
        <v>17</v>
      </c>
      <c r="C31" s="165"/>
      <c r="D31" s="165"/>
      <c r="E31" s="165"/>
      <c r="F31" s="165"/>
    </row>
    <row r="32" spans="2:12" x14ac:dyDescent="0.25">
      <c r="B32" s="1"/>
      <c r="C32" s="1"/>
      <c r="D32" s="1"/>
      <c r="E32" s="1"/>
      <c r="F32" s="1"/>
    </row>
    <row r="33" spans="2:15" x14ac:dyDescent="0.25">
      <c r="B33" s="1"/>
      <c r="C33" s="1"/>
      <c r="D33" s="1"/>
      <c r="E33" s="1"/>
      <c r="F33" s="1"/>
    </row>
    <row r="34" spans="2:15" x14ac:dyDescent="0.25">
      <c r="B34" s="175" t="s">
        <v>26</v>
      </c>
      <c r="C34" s="175"/>
      <c r="D34" s="175"/>
      <c r="E34" s="175"/>
      <c r="F34" s="175"/>
    </row>
    <row r="35" spans="2:15" ht="16.5" thickBot="1" x14ac:dyDescent="0.3">
      <c r="B35" s="20"/>
      <c r="C35" s="20"/>
      <c r="D35" s="20"/>
      <c r="E35" s="20"/>
      <c r="F35" s="1"/>
    </row>
    <row r="36" spans="2:15" ht="15.75" thickBot="1" x14ac:dyDescent="0.3">
      <c r="B36" s="173" t="s">
        <v>18</v>
      </c>
      <c r="C36" s="174"/>
      <c r="D36" s="83">
        <v>5000</v>
      </c>
      <c r="E36" s="1"/>
      <c r="F36" s="1"/>
    </row>
    <row r="37" spans="2:15" ht="16.5" thickBot="1" x14ac:dyDescent="0.3">
      <c r="B37" s="171" t="s">
        <v>24</v>
      </c>
      <c r="C37" s="172"/>
      <c r="D37" s="84">
        <f>AVERAGE(C10:C28)</f>
        <v>5.0421052631578943E-2</v>
      </c>
      <c r="E37" s="1"/>
      <c r="F37" s="168" t="s">
        <v>19</v>
      </c>
      <c r="G37" s="168"/>
      <c r="H37" s="165"/>
      <c r="I37" s="165"/>
      <c r="K37" s="170" t="s">
        <v>25</v>
      </c>
      <c r="L37" s="170"/>
      <c r="M37" s="170"/>
      <c r="N37" s="170"/>
      <c r="O37" s="170"/>
    </row>
    <row r="38" spans="2:15" x14ac:dyDescent="0.25">
      <c r="B38" s="5"/>
      <c r="C38" s="5"/>
      <c r="D38" s="6"/>
      <c r="E38" s="1"/>
      <c r="F38" s="1"/>
    </row>
    <row r="39" spans="2:15" x14ac:dyDescent="0.25">
      <c r="B39" s="7" t="s">
        <v>12</v>
      </c>
      <c r="C39" s="7" t="s">
        <v>14</v>
      </c>
      <c r="D39" s="1"/>
      <c r="E39" s="1"/>
    </row>
    <row r="40" spans="2:15" x14ac:dyDescent="0.25">
      <c r="B40" s="8">
        <v>2000</v>
      </c>
      <c r="C40" s="13">
        <v>5000</v>
      </c>
      <c r="D40" s="1"/>
      <c r="E40" s="1"/>
    </row>
    <row r="41" spans="2:15" x14ac:dyDescent="0.25">
      <c r="B41" s="8">
        <v>2001</v>
      </c>
      <c r="C41" s="13">
        <f>$D$36*(1+$D$37)</f>
        <v>5252.105263157895</v>
      </c>
      <c r="D41" s="1"/>
      <c r="E41" s="1"/>
    </row>
    <row r="42" spans="2:15" x14ac:dyDescent="0.25">
      <c r="B42" s="8">
        <v>2002</v>
      </c>
      <c r="C42" s="13">
        <f>C41*(1+$D$37)</f>
        <v>5516.921939058172</v>
      </c>
      <c r="D42" s="1"/>
      <c r="E42" s="1"/>
    </row>
    <row r="43" spans="2:15" x14ac:dyDescent="0.25">
      <c r="B43" s="8">
        <v>2003</v>
      </c>
      <c r="C43" s="13">
        <f t="shared" ref="C43:C59" si="1">C42*(1+$D$37)</f>
        <v>5795.090950511737</v>
      </c>
      <c r="D43" s="1"/>
      <c r="E43" s="1"/>
    </row>
    <row r="44" spans="2:15" x14ac:dyDescent="0.25">
      <c r="B44" s="8">
        <v>2004</v>
      </c>
      <c r="C44" s="13">
        <f t="shared" si="1"/>
        <v>6087.285536332276</v>
      </c>
      <c r="D44" s="1"/>
      <c r="E44" s="1"/>
    </row>
    <row r="45" spans="2:15" x14ac:dyDescent="0.25">
      <c r="B45" s="8">
        <v>2005</v>
      </c>
      <c r="C45" s="13">
        <f t="shared" si="1"/>
        <v>6394.2128807431345</v>
      </c>
      <c r="D45" s="1"/>
      <c r="E45" s="1"/>
      <c r="F45" s="1" t="s">
        <v>27</v>
      </c>
      <c r="G45" s="1" t="s">
        <v>27</v>
      </c>
      <c r="H45" s="1" t="s">
        <v>27</v>
      </c>
      <c r="I45" s="1" t="s">
        <v>23</v>
      </c>
      <c r="J45" s="1" t="s">
        <v>27</v>
      </c>
      <c r="K45" s="1" t="s">
        <v>27</v>
      </c>
      <c r="L45" s="1" t="s">
        <v>27</v>
      </c>
    </row>
    <row r="46" spans="2:15" x14ac:dyDescent="0.25">
      <c r="B46" s="8">
        <v>2006</v>
      </c>
      <c r="C46" s="13">
        <f t="shared" si="1"/>
        <v>6716.6158249406044</v>
      </c>
      <c r="D46" s="1"/>
      <c r="E46" s="1"/>
    </row>
    <row r="47" spans="2:15" x14ac:dyDescent="0.25">
      <c r="B47" s="8">
        <v>2007</v>
      </c>
      <c r="C47" s="13">
        <f t="shared" si="1"/>
        <v>7055.2746649560304</v>
      </c>
      <c r="D47" s="1"/>
      <c r="E47" s="1"/>
    </row>
    <row r="48" spans="2:15" x14ac:dyDescent="0.25">
      <c r="B48" s="8">
        <v>2008</v>
      </c>
      <c r="C48" s="13">
        <f t="shared" si="1"/>
        <v>7411.0090401680236</v>
      </c>
      <c r="D48" s="1"/>
      <c r="E48" s="1"/>
    </row>
    <row r="49" spans="2:10" ht="15" customHeight="1" x14ac:dyDescent="0.25">
      <c r="B49" s="8">
        <v>2009</v>
      </c>
      <c r="C49" s="13">
        <f t="shared" si="1"/>
        <v>7784.6799170354425</v>
      </c>
      <c r="D49" s="1"/>
      <c r="E49" s="164" t="s">
        <v>142</v>
      </c>
      <c r="F49" s="164"/>
      <c r="G49" s="164"/>
    </row>
    <row r="50" spans="2:10" x14ac:dyDescent="0.25">
      <c r="B50" s="8">
        <v>2010</v>
      </c>
      <c r="C50" s="13">
        <f t="shared" si="1"/>
        <v>8177.191672852282</v>
      </c>
      <c r="D50" s="1"/>
      <c r="E50" s="164"/>
      <c r="F50" s="164"/>
      <c r="G50" s="164"/>
    </row>
    <row r="51" spans="2:10" x14ac:dyDescent="0.25">
      <c r="B51" s="8">
        <v>2011</v>
      </c>
      <c r="C51" s="13">
        <f t="shared" si="1"/>
        <v>8589.494284567676</v>
      </c>
      <c r="D51" s="1"/>
      <c r="E51" s="164"/>
      <c r="F51" s="164"/>
      <c r="G51" s="164"/>
    </row>
    <row r="52" spans="2:10" x14ac:dyDescent="0.25">
      <c r="B52" s="8">
        <v>2012</v>
      </c>
      <c r="C52" s="13">
        <f t="shared" si="1"/>
        <v>9022.5856279685086</v>
      </c>
      <c r="D52" s="1"/>
      <c r="E52" s="67"/>
      <c r="F52" s="67"/>
      <c r="G52" s="67"/>
    </row>
    <row r="53" spans="2:10" x14ac:dyDescent="0.25">
      <c r="B53" s="8">
        <v>2013</v>
      </c>
      <c r="C53" s="13">
        <f t="shared" si="1"/>
        <v>9477.5138927892367</v>
      </c>
      <c r="D53" s="1"/>
      <c r="E53" s="1"/>
    </row>
    <row r="54" spans="2:10" x14ac:dyDescent="0.25">
      <c r="B54" s="8">
        <v>2014</v>
      </c>
      <c r="C54" s="13">
        <f t="shared" si="1"/>
        <v>9955.3801195940832</v>
      </c>
      <c r="D54" s="1"/>
      <c r="E54" s="1"/>
    </row>
    <row r="55" spans="2:10" x14ac:dyDescent="0.25">
      <c r="B55" s="8">
        <v>2015</v>
      </c>
      <c r="C55" s="13">
        <f t="shared" si="1"/>
        <v>10457.340864571512</v>
      </c>
      <c r="D55" s="1"/>
      <c r="E55" s="1"/>
    </row>
    <row r="56" spans="2:10" x14ac:dyDescent="0.25">
      <c r="B56" s="8">
        <v>2016</v>
      </c>
      <c r="C56" s="13">
        <f t="shared" si="1"/>
        <v>10984.610998690432</v>
      </c>
      <c r="D56" s="1"/>
      <c r="E56" s="1"/>
    </row>
    <row r="57" spans="2:10" x14ac:dyDescent="0.25">
      <c r="B57" s="8">
        <v>2017</v>
      </c>
      <c r="C57" s="13">
        <f t="shared" si="1"/>
        <v>11538.466647992824</v>
      </c>
      <c r="D57" s="1"/>
      <c r="E57" s="1"/>
    </row>
    <row r="58" spans="2:10" x14ac:dyDescent="0.25">
      <c r="B58" s="8">
        <v>2018</v>
      </c>
      <c r="C58" s="13">
        <f t="shared" si="1"/>
        <v>12120.248282138988</v>
      </c>
      <c r="D58" s="1"/>
      <c r="E58" s="1"/>
    </row>
    <row r="59" spans="2:10" x14ac:dyDescent="0.25">
      <c r="B59" s="10">
        <v>2019</v>
      </c>
      <c r="C59" s="14">
        <f t="shared" si="1"/>
        <v>12731.363958680522</v>
      </c>
      <c r="D59" s="1"/>
      <c r="E59" s="1"/>
    </row>
    <row r="60" spans="2:10" x14ac:dyDescent="0.25">
      <c r="B60" s="1"/>
      <c r="C60" s="1"/>
      <c r="D60" s="1"/>
      <c r="E60" s="1"/>
      <c r="F60" s="1"/>
    </row>
    <row r="62" spans="2:10" ht="15.75" x14ac:dyDescent="0.25">
      <c r="B62" s="4" t="s">
        <v>15</v>
      </c>
    </row>
    <row r="63" spans="2:10" x14ac:dyDescent="0.25">
      <c r="B63" s="165" t="s">
        <v>16</v>
      </c>
      <c r="C63" s="165"/>
      <c r="D63" s="165"/>
      <c r="E63" s="165"/>
      <c r="F63" s="165"/>
      <c r="G63" s="165"/>
      <c r="H63" s="165"/>
      <c r="I63" s="165"/>
      <c r="J63" s="165"/>
    </row>
  </sheetData>
  <mergeCells count="20">
    <mergeCell ref="K37:O37"/>
    <mergeCell ref="B36:C36"/>
    <mergeCell ref="B34:F34"/>
    <mergeCell ref="F19:H21"/>
    <mergeCell ref="B1:F1"/>
    <mergeCell ref="B4:K4"/>
    <mergeCell ref="B5:F5"/>
    <mergeCell ref="K7:Q7"/>
    <mergeCell ref="K8:N8"/>
    <mergeCell ref="E49:G51"/>
    <mergeCell ref="B63:J63"/>
    <mergeCell ref="B31:F31"/>
    <mergeCell ref="B7:C7"/>
    <mergeCell ref="F7:G7"/>
    <mergeCell ref="H7:I7"/>
    <mergeCell ref="E29:G29"/>
    <mergeCell ref="E11:H11"/>
    <mergeCell ref="B37:C37"/>
    <mergeCell ref="F37:G37"/>
    <mergeCell ref="H37:I37"/>
  </mergeCells>
  <pageMargins left="0.7" right="0.7" top="0.75" bottom="0.75" header="0.3" footer="0.3"/>
  <pageSetup orientation="portrait" horizontalDpi="360"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6"/>
  <sheetViews>
    <sheetView topLeftCell="A16" workbookViewId="0">
      <selection activeCell="E6" sqref="E6"/>
    </sheetView>
  </sheetViews>
  <sheetFormatPr baseColWidth="10" defaultRowHeight="15" x14ac:dyDescent="0.25"/>
  <cols>
    <col min="5" max="5" width="13.140625" bestFit="1" customWidth="1"/>
    <col min="6" max="6" width="14.140625" bestFit="1" customWidth="1"/>
    <col min="9" max="9" width="14.140625" bestFit="1" customWidth="1"/>
  </cols>
  <sheetData>
    <row r="1" spans="1:16" ht="23.25" x14ac:dyDescent="0.35">
      <c r="B1" s="260" t="s">
        <v>256</v>
      </c>
      <c r="C1" s="261"/>
      <c r="D1" s="261"/>
      <c r="E1" s="261"/>
      <c r="F1" s="261"/>
      <c r="G1" s="261"/>
      <c r="H1" s="261"/>
      <c r="I1" s="261"/>
      <c r="J1" s="261"/>
      <c r="K1" s="261"/>
    </row>
    <row r="3" spans="1:16" ht="21.75" customHeight="1" x14ac:dyDescent="0.25">
      <c r="A3" s="35" t="s">
        <v>257</v>
      </c>
      <c r="B3" s="35"/>
      <c r="C3" s="35"/>
      <c r="D3" s="35"/>
      <c r="E3" s="35"/>
      <c r="F3" s="35"/>
      <c r="G3" s="35"/>
      <c r="H3" s="67"/>
      <c r="I3" s="67"/>
      <c r="J3" s="67"/>
      <c r="K3" s="67"/>
      <c r="L3" s="67"/>
      <c r="M3" s="67"/>
      <c r="N3" s="67"/>
    </row>
    <row r="4" spans="1:16" x14ac:dyDescent="0.25">
      <c r="A4" s="165" t="s">
        <v>258</v>
      </c>
      <c r="B4" s="165"/>
      <c r="C4" s="165"/>
      <c r="D4" s="165"/>
    </row>
    <row r="6" spans="1:16" x14ac:dyDescent="0.25">
      <c r="A6" s="211" t="s">
        <v>254</v>
      </c>
      <c r="B6" s="211"/>
      <c r="C6" s="12">
        <v>78000000</v>
      </c>
    </row>
    <row r="7" spans="1:16" x14ac:dyDescent="0.25">
      <c r="A7" s="211" t="s">
        <v>259</v>
      </c>
      <c r="B7" s="211"/>
      <c r="C7" s="272">
        <v>1.4999999999999999E-2</v>
      </c>
      <c r="D7" t="s">
        <v>260</v>
      </c>
    </row>
    <row r="8" spans="1:16" x14ac:dyDescent="0.25">
      <c r="A8" s="211" t="s">
        <v>228</v>
      </c>
      <c r="B8" s="211"/>
      <c r="C8" s="44">
        <v>120</v>
      </c>
      <c r="D8" t="s">
        <v>261</v>
      </c>
    </row>
    <row r="9" spans="1:16" x14ac:dyDescent="0.25">
      <c r="A9" s="211" t="s">
        <v>110</v>
      </c>
      <c r="B9" s="211"/>
      <c r="C9" s="12">
        <v>1405444.5525197759</v>
      </c>
    </row>
    <row r="10" spans="1:16" x14ac:dyDescent="0.25">
      <c r="A10" s="144"/>
      <c r="B10" s="144"/>
      <c r="C10" s="273"/>
    </row>
    <row r="11" spans="1:16" x14ac:dyDescent="0.25">
      <c r="B11" s="274" t="s">
        <v>262</v>
      </c>
      <c r="C11" s="274"/>
      <c r="D11" s="274"/>
      <c r="E11" s="274"/>
      <c r="F11" s="274"/>
      <c r="L11" s="211" t="s">
        <v>263</v>
      </c>
      <c r="M11" s="211"/>
      <c r="N11" s="211"/>
      <c r="O11" s="275">
        <f>C7*12</f>
        <v>0.18</v>
      </c>
    </row>
    <row r="12" spans="1:16" x14ac:dyDescent="0.25">
      <c r="B12" s="44" t="s">
        <v>264</v>
      </c>
      <c r="C12" s="44" t="s">
        <v>110</v>
      </c>
      <c r="D12" s="44" t="s">
        <v>195</v>
      </c>
      <c r="E12" s="44" t="s">
        <v>206</v>
      </c>
      <c r="F12" s="44" t="s">
        <v>196</v>
      </c>
      <c r="L12" s="211" t="s">
        <v>265</v>
      </c>
      <c r="M12" s="211"/>
      <c r="N12" s="211"/>
      <c r="O12" s="227">
        <f>((1+(O11/12))^12)-1</f>
        <v>0.19561817146153326</v>
      </c>
    </row>
    <row r="13" spans="1:16" x14ac:dyDescent="0.25">
      <c r="B13" s="44">
        <v>0</v>
      </c>
      <c r="C13" s="12"/>
      <c r="D13" s="12"/>
      <c r="E13" s="12"/>
      <c r="F13" s="12">
        <f>C6</f>
        <v>78000000</v>
      </c>
      <c r="L13" s="273"/>
      <c r="M13" s="236" t="s">
        <v>228</v>
      </c>
      <c r="N13" s="236"/>
      <c r="O13" s="44">
        <v>10</v>
      </c>
      <c r="P13" t="s">
        <v>266</v>
      </c>
    </row>
    <row r="14" spans="1:16" x14ac:dyDescent="0.25">
      <c r="B14" s="44">
        <v>1</v>
      </c>
      <c r="C14" s="12">
        <f>$C$9</f>
        <v>1405444.5525197759</v>
      </c>
      <c r="D14" s="12">
        <f>C14-E14</f>
        <v>235444.55251977593</v>
      </c>
      <c r="E14" s="12">
        <f>F13*$C$7</f>
        <v>1170000</v>
      </c>
      <c r="F14" s="12">
        <f>F13-D14</f>
        <v>77764555.447480232</v>
      </c>
      <c r="L14" s="273"/>
      <c r="M14" s="211" t="s">
        <v>110</v>
      </c>
      <c r="N14" s="211"/>
      <c r="O14" s="44">
        <v>18328699.563632801</v>
      </c>
    </row>
    <row r="15" spans="1:16" x14ac:dyDescent="0.25">
      <c r="B15" s="44">
        <v>2</v>
      </c>
      <c r="C15" s="12">
        <f t="shared" ref="C15:C79" si="0">$C$9</f>
        <v>1405444.5525197759</v>
      </c>
      <c r="D15" s="12">
        <f t="shared" ref="D15:D79" si="1">C15-E15</f>
        <v>238976.22080757259</v>
      </c>
      <c r="E15" s="12">
        <f t="shared" ref="E15:E79" si="2">F14*$C$7</f>
        <v>1166468.3317122033</v>
      </c>
      <c r="F15" s="12">
        <f t="shared" ref="F15:F33" si="3">F14-D15</f>
        <v>77525579.226672664</v>
      </c>
    </row>
    <row r="16" spans="1:16" x14ac:dyDescent="0.25">
      <c r="B16" s="44">
        <v>3</v>
      </c>
      <c r="C16" s="12">
        <f t="shared" si="0"/>
        <v>1405444.5525197759</v>
      </c>
      <c r="D16" s="12">
        <f t="shared" si="1"/>
        <v>242560.86411968595</v>
      </c>
      <c r="E16" s="12">
        <f t="shared" si="2"/>
        <v>1162883.68840009</v>
      </c>
      <c r="F16" s="12">
        <f t="shared" si="3"/>
        <v>77283018.362552986</v>
      </c>
    </row>
    <row r="17" spans="2:16" x14ac:dyDescent="0.25">
      <c r="B17" s="44">
        <v>4</v>
      </c>
      <c r="C17" s="12">
        <f t="shared" si="0"/>
        <v>1405444.5525197759</v>
      </c>
      <c r="D17" s="12">
        <f t="shared" si="1"/>
        <v>246199.27708148118</v>
      </c>
      <c r="E17" s="12">
        <f t="shared" si="2"/>
        <v>1159245.2754382947</v>
      </c>
      <c r="F17" s="12">
        <f t="shared" si="3"/>
        <v>77036819.085471511</v>
      </c>
      <c r="L17" s="44" t="s">
        <v>267</v>
      </c>
      <c r="M17" s="44" t="s">
        <v>110</v>
      </c>
      <c r="N17" s="44" t="s">
        <v>195</v>
      </c>
      <c r="O17" s="44" t="s">
        <v>206</v>
      </c>
      <c r="P17" s="44" t="s">
        <v>196</v>
      </c>
    </row>
    <row r="18" spans="2:16" x14ac:dyDescent="0.25">
      <c r="B18" s="44">
        <v>5</v>
      </c>
      <c r="C18" s="12">
        <f t="shared" si="0"/>
        <v>1405444.5525197759</v>
      </c>
      <c r="D18" s="12">
        <f t="shared" si="1"/>
        <v>249892.26623770338</v>
      </c>
      <c r="E18" s="12">
        <f t="shared" si="2"/>
        <v>1155552.2862820725</v>
      </c>
      <c r="F18" s="12">
        <f t="shared" si="3"/>
        <v>76786926.819233805</v>
      </c>
      <c r="L18" s="44">
        <v>0</v>
      </c>
      <c r="M18" s="44"/>
      <c r="N18" s="44"/>
      <c r="O18" s="44"/>
      <c r="P18" s="217">
        <f>C6</f>
        <v>78000000</v>
      </c>
    </row>
    <row r="19" spans="2:16" x14ac:dyDescent="0.25">
      <c r="B19" s="44">
        <v>6</v>
      </c>
      <c r="C19" s="12">
        <f t="shared" si="0"/>
        <v>1405444.5525197759</v>
      </c>
      <c r="D19" s="12">
        <f t="shared" si="1"/>
        <v>253640.65023126896</v>
      </c>
      <c r="E19" s="12">
        <f t="shared" si="2"/>
        <v>1151803.902288507</v>
      </c>
      <c r="F19" s="12">
        <f t="shared" si="3"/>
        <v>76533286.169002533</v>
      </c>
      <c r="L19" s="44">
        <v>1</v>
      </c>
      <c r="M19" s="12">
        <f>$O$14</f>
        <v>18328699.563632801</v>
      </c>
      <c r="N19" s="12">
        <f>M19-O19</f>
        <v>3070482.1896332074</v>
      </c>
      <c r="O19" s="12">
        <f>$O$12*P18</f>
        <v>15258217.373999594</v>
      </c>
      <c r="P19" s="12">
        <f>P18-N19</f>
        <v>74929517.810366794</v>
      </c>
    </row>
    <row r="20" spans="2:16" x14ac:dyDescent="0.25">
      <c r="B20" s="44">
        <v>7</v>
      </c>
      <c r="C20" s="12">
        <f t="shared" si="0"/>
        <v>1405444.5525197759</v>
      </c>
      <c r="D20" s="12">
        <f t="shared" si="1"/>
        <v>257445.25998473796</v>
      </c>
      <c r="E20" s="12">
        <f t="shared" si="2"/>
        <v>1147999.292535038</v>
      </c>
      <c r="F20" s="12">
        <f t="shared" si="3"/>
        <v>76275840.909017801</v>
      </c>
      <c r="L20" s="44">
        <v>2</v>
      </c>
      <c r="M20" s="12">
        <f t="shared" ref="M20:M28" si="4">$O$14</f>
        <v>18328699.563632801</v>
      </c>
      <c r="N20" s="12">
        <f t="shared" ref="N20:N28" si="5">M20-O20</f>
        <v>3671124.3010744583</v>
      </c>
      <c r="O20" s="12">
        <f t="shared" ref="O20:O28" si="6">$O$12*P19</f>
        <v>14657575.262558343</v>
      </c>
      <c r="P20" s="12">
        <f t="shared" ref="P20:P28" si="7">P19-N20</f>
        <v>71258393.509292334</v>
      </c>
    </row>
    <row r="21" spans="2:16" x14ac:dyDescent="0.25">
      <c r="B21" s="44">
        <v>8</v>
      </c>
      <c r="C21" s="12">
        <f t="shared" si="0"/>
        <v>1405444.5525197759</v>
      </c>
      <c r="D21" s="12">
        <f t="shared" si="1"/>
        <v>261306.93888450903</v>
      </c>
      <c r="E21" s="12">
        <f t="shared" si="2"/>
        <v>1144137.6136352669</v>
      </c>
      <c r="F21" s="12">
        <f t="shared" si="3"/>
        <v>76014533.97013329</v>
      </c>
      <c r="L21" s="44">
        <v>3</v>
      </c>
      <c r="M21" s="12">
        <f t="shared" si="4"/>
        <v>18328699.563632801</v>
      </c>
      <c r="N21" s="12">
        <f t="shared" si="5"/>
        <v>4389262.9240586441</v>
      </c>
      <c r="O21" s="12">
        <f t="shared" si="6"/>
        <v>13939436.639574157</v>
      </c>
      <c r="P21" s="12">
        <f t="shared" si="7"/>
        <v>66869130.585233688</v>
      </c>
    </row>
    <row r="22" spans="2:16" x14ac:dyDescent="0.25">
      <c r="B22" s="44">
        <v>9</v>
      </c>
      <c r="C22" s="12">
        <f t="shared" si="0"/>
        <v>1405444.5525197759</v>
      </c>
      <c r="D22" s="12">
        <f t="shared" si="1"/>
        <v>265226.54296777654</v>
      </c>
      <c r="E22" s="12">
        <f t="shared" si="2"/>
        <v>1140218.0095519994</v>
      </c>
      <c r="F22" s="12">
        <f t="shared" si="3"/>
        <v>75749307.427165508</v>
      </c>
      <c r="L22" s="44">
        <v>4</v>
      </c>
      <c r="M22" s="12">
        <f t="shared" si="4"/>
        <v>18328699.563632801</v>
      </c>
      <c r="N22" s="12">
        <f t="shared" si="5"/>
        <v>5247882.5113268998</v>
      </c>
      <c r="O22" s="12">
        <f t="shared" si="6"/>
        <v>13080817.052305901</v>
      </c>
      <c r="P22" s="12">
        <f t="shared" si="7"/>
        <v>61621248.073906787</v>
      </c>
    </row>
    <row r="23" spans="2:16" x14ac:dyDescent="0.25">
      <c r="B23" s="44">
        <v>10</v>
      </c>
      <c r="C23" s="12">
        <f t="shared" si="0"/>
        <v>1405444.5525197759</v>
      </c>
      <c r="D23" s="12">
        <f t="shared" si="1"/>
        <v>269204.9411122934</v>
      </c>
      <c r="E23" s="12">
        <f t="shared" si="2"/>
        <v>1136239.6114074825</v>
      </c>
      <c r="F23" s="12">
        <f t="shared" si="3"/>
        <v>75480102.486053213</v>
      </c>
      <c r="L23" s="44">
        <v>5</v>
      </c>
      <c r="M23" s="12">
        <f t="shared" si="4"/>
        <v>18328699.563632801</v>
      </c>
      <c r="N23" s="12">
        <f t="shared" si="5"/>
        <v>6274463.6922376268</v>
      </c>
      <c r="O23" s="12">
        <f t="shared" si="6"/>
        <v>12054235.871395174</v>
      </c>
      <c r="P23" s="12">
        <f t="shared" si="7"/>
        <v>55346784.381669164</v>
      </c>
    </row>
    <row r="24" spans="2:16" x14ac:dyDescent="0.25">
      <c r="B24" s="44">
        <v>11</v>
      </c>
      <c r="C24" s="12">
        <f t="shared" si="0"/>
        <v>1405444.5525197759</v>
      </c>
      <c r="D24" s="12">
        <f t="shared" si="1"/>
        <v>273243.01522897766</v>
      </c>
      <c r="E24" s="12">
        <f t="shared" si="2"/>
        <v>1132201.5372907983</v>
      </c>
      <c r="F24" s="12">
        <f t="shared" si="3"/>
        <v>75206859.470824242</v>
      </c>
      <c r="L24" s="44">
        <v>6</v>
      </c>
      <c r="M24" s="12">
        <f t="shared" si="4"/>
        <v>18328699.563632801</v>
      </c>
      <c r="N24" s="12">
        <f t="shared" si="5"/>
        <v>7501862.8066149317</v>
      </c>
      <c r="O24" s="12">
        <f t="shared" si="6"/>
        <v>10826836.75701787</v>
      </c>
      <c r="P24" s="12">
        <f t="shared" si="7"/>
        <v>47844921.575054228</v>
      </c>
    </row>
    <row r="25" spans="2:16" x14ac:dyDescent="0.25">
      <c r="B25" s="44">
        <v>12</v>
      </c>
      <c r="C25" s="12">
        <f t="shared" si="0"/>
        <v>1405444.5525197759</v>
      </c>
      <c r="D25" s="12">
        <f t="shared" si="1"/>
        <v>277341.66045741225</v>
      </c>
      <c r="E25" s="12">
        <f t="shared" si="2"/>
        <v>1128102.8920623637</v>
      </c>
      <c r="F25" s="12">
        <f t="shared" si="3"/>
        <v>74929517.810366824</v>
      </c>
      <c r="L25" s="44">
        <v>7</v>
      </c>
      <c r="M25" s="12">
        <f t="shared" si="4"/>
        <v>18328699.563632801</v>
      </c>
      <c r="N25" s="12">
        <f t="shared" si="5"/>
        <v>8969363.4914002307</v>
      </c>
      <c r="O25" s="12">
        <f t="shared" si="6"/>
        <v>9359336.0722325705</v>
      </c>
      <c r="P25" s="12">
        <f t="shared" si="7"/>
        <v>38875558.083654001</v>
      </c>
    </row>
    <row r="26" spans="2:16" x14ac:dyDescent="0.25">
      <c r="B26" s="44">
        <v>13</v>
      </c>
      <c r="C26" s="12">
        <f t="shared" si="0"/>
        <v>1405444.5525197759</v>
      </c>
      <c r="D26" s="12">
        <f t="shared" si="1"/>
        <v>281501.7853642737</v>
      </c>
      <c r="E26" s="12">
        <f t="shared" si="2"/>
        <v>1123942.7671555022</v>
      </c>
      <c r="F26" s="12">
        <f t="shared" si="3"/>
        <v>74648016.025002554</v>
      </c>
      <c r="L26" s="44">
        <v>8</v>
      </c>
      <c r="M26" s="12">
        <f t="shared" si="4"/>
        <v>18328699.563632801</v>
      </c>
      <c r="N26" s="12">
        <f t="shared" si="5"/>
        <v>10723933.976761777</v>
      </c>
      <c r="O26" s="12">
        <f t="shared" si="6"/>
        <v>7604765.5868710242</v>
      </c>
      <c r="P26" s="12">
        <f t="shared" si="7"/>
        <v>28151624.106892224</v>
      </c>
    </row>
    <row r="27" spans="2:16" x14ac:dyDescent="0.25">
      <c r="B27" s="44">
        <v>14</v>
      </c>
      <c r="C27" s="12">
        <f t="shared" si="0"/>
        <v>1405444.5525197759</v>
      </c>
      <c r="D27" s="12">
        <f t="shared" si="1"/>
        <v>285724.31214473769</v>
      </c>
      <c r="E27" s="12">
        <f t="shared" si="2"/>
        <v>1119720.2403750382</v>
      </c>
      <c r="F27" s="12">
        <f t="shared" si="3"/>
        <v>74362291.712857813</v>
      </c>
      <c r="L27" s="44">
        <v>9</v>
      </c>
      <c r="M27" s="12">
        <f t="shared" si="4"/>
        <v>18328699.563632801</v>
      </c>
      <c r="N27" s="12">
        <f t="shared" si="5"/>
        <v>12821730.332170125</v>
      </c>
      <c r="O27" s="12">
        <f t="shared" si="6"/>
        <v>5506969.2314626761</v>
      </c>
      <c r="P27" s="12">
        <f t="shared" si="7"/>
        <v>15329893.774722099</v>
      </c>
    </row>
    <row r="28" spans="2:16" x14ac:dyDescent="0.25">
      <c r="B28" s="44">
        <v>15</v>
      </c>
      <c r="C28" s="12">
        <f t="shared" si="0"/>
        <v>1405444.5525197759</v>
      </c>
      <c r="D28" s="12">
        <f t="shared" si="1"/>
        <v>290010.17682690872</v>
      </c>
      <c r="E28" s="12">
        <f t="shared" si="2"/>
        <v>1115434.3756928672</v>
      </c>
      <c r="F28" s="12">
        <f t="shared" si="3"/>
        <v>74072281.536030903</v>
      </c>
      <c r="L28" s="44">
        <v>10</v>
      </c>
      <c r="M28" s="12">
        <f t="shared" si="4"/>
        <v>18328699.563632801</v>
      </c>
      <c r="N28" s="12">
        <f t="shared" si="5"/>
        <v>15329893.774722122</v>
      </c>
      <c r="O28" s="12">
        <f t="shared" si="6"/>
        <v>2998805.7889106791</v>
      </c>
      <c r="P28" s="12">
        <f t="shared" si="7"/>
        <v>-2.2351741790771484E-8</v>
      </c>
    </row>
    <row r="29" spans="2:16" x14ac:dyDescent="0.25">
      <c r="B29" s="44">
        <v>16</v>
      </c>
      <c r="C29" s="12">
        <f t="shared" si="0"/>
        <v>1405444.5525197759</v>
      </c>
      <c r="D29" s="12">
        <f t="shared" si="1"/>
        <v>294360.32947931252</v>
      </c>
      <c r="E29" s="12">
        <f t="shared" si="2"/>
        <v>1111084.2230404634</v>
      </c>
      <c r="F29" s="12">
        <f t="shared" si="3"/>
        <v>73777921.206551597</v>
      </c>
    </row>
    <row r="30" spans="2:16" x14ac:dyDescent="0.25">
      <c r="B30" s="44">
        <v>17</v>
      </c>
      <c r="C30" s="12">
        <f t="shared" si="0"/>
        <v>1405444.5525197759</v>
      </c>
      <c r="D30" s="12">
        <f t="shared" si="1"/>
        <v>298775.7344215021</v>
      </c>
      <c r="E30" s="12">
        <f t="shared" si="2"/>
        <v>1106668.8180982738</v>
      </c>
      <c r="F30" s="12">
        <f t="shared" si="3"/>
        <v>73479145.47213009</v>
      </c>
    </row>
    <row r="31" spans="2:16" x14ac:dyDescent="0.25">
      <c r="B31" s="44">
        <v>18</v>
      </c>
      <c r="C31" s="12">
        <f t="shared" si="0"/>
        <v>1405444.5525197759</v>
      </c>
      <c r="D31" s="12">
        <f t="shared" si="1"/>
        <v>303257.37043782463</v>
      </c>
      <c r="E31" s="12">
        <f t="shared" si="2"/>
        <v>1102187.1820819513</v>
      </c>
      <c r="F31" s="12">
        <f t="shared" si="3"/>
        <v>73175888.101692259</v>
      </c>
    </row>
    <row r="32" spans="2:16" x14ac:dyDescent="0.25">
      <c r="B32" s="44">
        <v>19</v>
      </c>
      <c r="C32" s="12">
        <f t="shared" si="0"/>
        <v>1405444.5525197759</v>
      </c>
      <c r="D32" s="12">
        <f t="shared" si="1"/>
        <v>307806.23099439219</v>
      </c>
      <c r="E32" s="12">
        <f t="shared" si="2"/>
        <v>1097638.3215253837</v>
      </c>
      <c r="F32" s="12">
        <f t="shared" si="3"/>
        <v>72868081.870697871</v>
      </c>
    </row>
    <row r="33" spans="2:6" x14ac:dyDescent="0.25">
      <c r="B33" s="44">
        <v>20</v>
      </c>
      <c r="C33" s="12">
        <f t="shared" si="0"/>
        <v>1405444.5525197759</v>
      </c>
      <c r="D33" s="12">
        <f t="shared" si="1"/>
        <v>312423.32445930783</v>
      </c>
      <c r="E33" s="12">
        <f t="shared" si="2"/>
        <v>1093021.2280604681</v>
      </c>
      <c r="F33" s="12">
        <f t="shared" si="3"/>
        <v>72555658.546238557</v>
      </c>
    </row>
    <row r="34" spans="2:6" x14ac:dyDescent="0.25">
      <c r="B34" s="44">
        <v>21</v>
      </c>
      <c r="C34" s="12">
        <f>$C$9</f>
        <v>1405444.5525197759</v>
      </c>
      <c r="D34" s="12">
        <f>C34-E34</f>
        <v>317109.67432619771</v>
      </c>
      <c r="E34" s="12">
        <f>F33*$C$7</f>
        <v>1088334.8781935782</v>
      </c>
      <c r="F34" s="12">
        <f>F33-D34</f>
        <v>72238548.87191236</v>
      </c>
    </row>
    <row r="35" spans="2:6" x14ac:dyDescent="0.25">
      <c r="B35" s="44">
        <v>22</v>
      </c>
      <c r="C35" s="12">
        <f t="shared" si="0"/>
        <v>1405444.5525197759</v>
      </c>
      <c r="D35" s="12">
        <f t="shared" si="1"/>
        <v>321866.31944109057</v>
      </c>
      <c r="E35" s="12">
        <f t="shared" si="2"/>
        <v>1083578.2330786854</v>
      </c>
      <c r="F35" s="12">
        <f t="shared" ref="F35:F47" si="8">F34-D35</f>
        <v>71916682.552471265</v>
      </c>
    </row>
    <row r="36" spans="2:6" x14ac:dyDescent="0.25">
      <c r="B36" s="44">
        <v>23</v>
      </c>
      <c r="C36" s="12">
        <f t="shared" si="0"/>
        <v>1405444.5525197759</v>
      </c>
      <c r="D36" s="12">
        <f t="shared" si="1"/>
        <v>326694.31423270702</v>
      </c>
      <c r="E36" s="12">
        <f t="shared" si="2"/>
        <v>1078750.2382870689</v>
      </c>
      <c r="F36" s="12">
        <f t="shared" si="8"/>
        <v>71589988.238238558</v>
      </c>
    </row>
    <row r="37" spans="2:6" x14ac:dyDescent="0.25">
      <c r="B37" s="44">
        <v>24</v>
      </c>
      <c r="C37" s="12">
        <f t="shared" si="0"/>
        <v>1405444.5525197759</v>
      </c>
      <c r="D37" s="12">
        <f t="shared" si="1"/>
        <v>331594.72894619755</v>
      </c>
      <c r="E37" s="12">
        <f t="shared" si="2"/>
        <v>1073849.8235735784</v>
      </c>
      <c r="F37" s="12">
        <f t="shared" si="8"/>
        <v>71258393.509292364</v>
      </c>
    </row>
    <row r="38" spans="2:6" x14ac:dyDescent="0.25">
      <c r="B38" s="44">
        <v>25</v>
      </c>
      <c r="C38" s="12">
        <f t="shared" si="0"/>
        <v>1405444.5525197759</v>
      </c>
      <c r="D38" s="12">
        <f t="shared" si="1"/>
        <v>336568.64988039061</v>
      </c>
      <c r="E38" s="12">
        <f t="shared" si="2"/>
        <v>1068875.9026393853</v>
      </c>
      <c r="F38" s="12">
        <f t="shared" si="8"/>
        <v>70921824.85941197</v>
      </c>
    </row>
    <row r="39" spans="2:6" x14ac:dyDescent="0.25">
      <c r="B39" s="44">
        <v>26</v>
      </c>
      <c r="C39" s="12">
        <f t="shared" si="0"/>
        <v>1405444.5525197759</v>
      </c>
      <c r="D39" s="12">
        <f t="shared" si="1"/>
        <v>341617.17962859641</v>
      </c>
      <c r="E39" s="12">
        <f t="shared" si="2"/>
        <v>1063827.3728911795</v>
      </c>
      <c r="F39" s="12">
        <f t="shared" si="8"/>
        <v>70580207.679783374</v>
      </c>
    </row>
    <row r="40" spans="2:6" x14ac:dyDescent="0.25">
      <c r="B40" s="44">
        <v>27</v>
      </c>
      <c r="C40" s="12">
        <f t="shared" si="0"/>
        <v>1405444.5525197759</v>
      </c>
      <c r="D40" s="12">
        <f t="shared" si="1"/>
        <v>346741.43732302543</v>
      </c>
      <c r="E40" s="12">
        <f t="shared" si="2"/>
        <v>1058703.1151967505</v>
      </c>
      <c r="F40" s="12">
        <f t="shared" si="8"/>
        <v>70233466.242460355</v>
      </c>
    </row>
    <row r="41" spans="2:6" x14ac:dyDescent="0.25">
      <c r="B41" s="44">
        <v>28</v>
      </c>
      <c r="C41" s="12">
        <f t="shared" si="0"/>
        <v>1405444.5525197759</v>
      </c>
      <c r="D41" s="12">
        <f t="shared" si="1"/>
        <v>351942.55888287071</v>
      </c>
      <c r="E41" s="12">
        <f t="shared" si="2"/>
        <v>1053501.9936369052</v>
      </c>
      <c r="F41" s="12">
        <f t="shared" si="8"/>
        <v>69881523.683577478</v>
      </c>
    </row>
    <row r="42" spans="2:6" x14ac:dyDescent="0.25">
      <c r="B42" s="44">
        <v>29</v>
      </c>
      <c r="C42" s="12">
        <f t="shared" si="0"/>
        <v>1405444.5525197759</v>
      </c>
      <c r="D42" s="12">
        <f t="shared" si="1"/>
        <v>357221.69726611383</v>
      </c>
      <c r="E42" s="12">
        <f t="shared" si="2"/>
        <v>1048222.8552536621</v>
      </c>
      <c r="F42" s="12">
        <f t="shared" si="8"/>
        <v>69524301.986311361</v>
      </c>
    </row>
    <row r="43" spans="2:6" x14ac:dyDescent="0.25">
      <c r="B43" s="44">
        <v>30</v>
      </c>
      <c r="C43" s="12">
        <f t="shared" si="0"/>
        <v>1405444.5525197759</v>
      </c>
      <c r="D43" s="12">
        <f t="shared" si="1"/>
        <v>362580.02272510552</v>
      </c>
      <c r="E43" s="12">
        <f t="shared" si="2"/>
        <v>1042864.5297946704</v>
      </c>
      <c r="F43" s="12">
        <f t="shared" si="8"/>
        <v>69161721.963586256</v>
      </c>
    </row>
    <row r="44" spans="2:6" x14ac:dyDescent="0.25">
      <c r="B44" s="44">
        <v>31</v>
      </c>
      <c r="C44" s="12">
        <f t="shared" si="0"/>
        <v>1405444.5525197759</v>
      </c>
      <c r="D44" s="12">
        <f t="shared" si="1"/>
        <v>368018.72306598211</v>
      </c>
      <c r="E44" s="12">
        <f t="shared" si="2"/>
        <v>1037425.8294537938</v>
      </c>
      <c r="F44" s="12">
        <f t="shared" si="8"/>
        <v>68793703.240520269</v>
      </c>
    </row>
    <row r="45" spans="2:6" x14ac:dyDescent="0.25">
      <c r="B45" s="44">
        <v>32</v>
      </c>
      <c r="C45" s="12">
        <f t="shared" si="0"/>
        <v>1405444.5525197759</v>
      </c>
      <c r="D45" s="12">
        <f t="shared" si="1"/>
        <v>373539.00391197193</v>
      </c>
      <c r="E45" s="12">
        <f t="shared" si="2"/>
        <v>1031905.548607804</v>
      </c>
      <c r="F45" s="12">
        <f t="shared" si="8"/>
        <v>68420164.236608297</v>
      </c>
    </row>
    <row r="46" spans="2:6" x14ac:dyDescent="0.25">
      <c r="B46" s="44">
        <v>33</v>
      </c>
      <c r="C46" s="12">
        <f t="shared" si="0"/>
        <v>1405444.5525197759</v>
      </c>
      <c r="D46" s="12">
        <f t="shared" si="1"/>
        <v>379142.0889706515</v>
      </c>
      <c r="E46" s="12">
        <f t="shared" si="2"/>
        <v>1026302.4635491244</v>
      </c>
      <c r="F46" s="12">
        <f t="shared" si="8"/>
        <v>68041022.14763765</v>
      </c>
    </row>
    <row r="47" spans="2:6" x14ac:dyDescent="0.25">
      <c r="B47" s="44">
        <v>34</v>
      </c>
      <c r="C47" s="12">
        <f t="shared" si="0"/>
        <v>1405444.5525197759</v>
      </c>
      <c r="D47" s="12">
        <f t="shared" si="1"/>
        <v>384829.22030521126</v>
      </c>
      <c r="E47" s="12">
        <f t="shared" si="2"/>
        <v>1020615.3322145647</v>
      </c>
      <c r="F47" s="12">
        <f t="shared" si="8"/>
        <v>67656192.927332446</v>
      </c>
    </row>
    <row r="48" spans="2:6" x14ac:dyDescent="0.25">
      <c r="B48" s="44">
        <v>35</v>
      </c>
      <c r="C48" s="12">
        <f>$C$9</f>
        <v>1405444.5525197759</v>
      </c>
      <c r="D48" s="12">
        <f>C48-E48</f>
        <v>390601.65860978933</v>
      </c>
      <c r="E48" s="12">
        <f>F47*$C$7</f>
        <v>1014842.8939099866</v>
      </c>
      <c r="F48" s="12">
        <f>F47-D48</f>
        <v>67265591.268722653</v>
      </c>
    </row>
    <row r="49" spans="2:6" x14ac:dyDescent="0.25">
      <c r="B49" s="44">
        <v>36</v>
      </c>
      <c r="C49" s="12">
        <f t="shared" si="0"/>
        <v>1405444.5525197759</v>
      </c>
      <c r="D49" s="12">
        <f t="shared" si="1"/>
        <v>396460.68348893616</v>
      </c>
      <c r="E49" s="12">
        <f t="shared" si="2"/>
        <v>1008983.8690308398</v>
      </c>
      <c r="F49" s="12">
        <f t="shared" ref="F49:F58" si="9">F48-D49</f>
        <v>66869130.585233718</v>
      </c>
    </row>
    <row r="50" spans="2:6" x14ac:dyDescent="0.25">
      <c r="B50" s="44">
        <v>37</v>
      </c>
      <c r="C50" s="12">
        <f t="shared" si="0"/>
        <v>1405444.5525197759</v>
      </c>
      <c r="D50" s="12">
        <f t="shared" si="1"/>
        <v>402407.59374127025</v>
      </c>
      <c r="E50" s="12">
        <f t="shared" si="2"/>
        <v>1003036.9587785057</v>
      </c>
      <c r="F50" s="12">
        <f t="shared" si="9"/>
        <v>66466722.99149245</v>
      </c>
    </row>
    <row r="51" spans="2:6" x14ac:dyDescent="0.25">
      <c r="B51" s="44">
        <v>38</v>
      </c>
      <c r="C51" s="12">
        <f t="shared" si="0"/>
        <v>1405444.5525197759</v>
      </c>
      <c r="D51" s="12">
        <f t="shared" si="1"/>
        <v>408443.70764738927</v>
      </c>
      <c r="E51" s="12">
        <f t="shared" si="2"/>
        <v>997000.84487238666</v>
      </c>
      <c r="F51" s="12">
        <f t="shared" si="9"/>
        <v>66058279.28384506</v>
      </c>
    </row>
    <row r="52" spans="2:6" x14ac:dyDescent="0.25">
      <c r="B52" s="44">
        <v>39</v>
      </c>
      <c r="C52" s="12">
        <f t="shared" si="0"/>
        <v>1405444.5525197759</v>
      </c>
      <c r="D52" s="12">
        <f t="shared" si="1"/>
        <v>414570.36326210003</v>
      </c>
      <c r="E52" s="12">
        <f t="shared" si="2"/>
        <v>990874.1892576759</v>
      </c>
      <c r="F52" s="12">
        <f t="shared" si="9"/>
        <v>65643708.920582958</v>
      </c>
    </row>
    <row r="53" spans="2:6" x14ac:dyDescent="0.25">
      <c r="B53" s="44">
        <v>40</v>
      </c>
      <c r="C53" s="12">
        <f t="shared" si="0"/>
        <v>1405444.5525197759</v>
      </c>
      <c r="D53" s="12">
        <f t="shared" si="1"/>
        <v>420788.91871103155</v>
      </c>
      <c r="E53" s="12">
        <f t="shared" si="2"/>
        <v>984655.63380874437</v>
      </c>
      <c r="F53" s="12">
        <f t="shared" si="9"/>
        <v>65222920.001871929</v>
      </c>
    </row>
    <row r="54" spans="2:6" x14ac:dyDescent="0.25">
      <c r="B54" s="44">
        <v>41</v>
      </c>
      <c r="C54" s="12">
        <f t="shared" si="0"/>
        <v>1405444.5525197759</v>
      </c>
      <c r="D54" s="12">
        <f t="shared" si="1"/>
        <v>427100.75249169709</v>
      </c>
      <c r="E54" s="12">
        <f t="shared" si="2"/>
        <v>978343.80002807884</v>
      </c>
      <c r="F54" s="12">
        <f t="shared" si="9"/>
        <v>64795819.249380231</v>
      </c>
    </row>
    <row r="55" spans="2:6" x14ac:dyDescent="0.25">
      <c r="B55" s="44">
        <v>42</v>
      </c>
      <c r="C55" s="12">
        <f t="shared" si="0"/>
        <v>1405444.5525197759</v>
      </c>
      <c r="D55" s="12">
        <f t="shared" si="1"/>
        <v>433507.26377907256</v>
      </c>
      <c r="E55" s="12">
        <f t="shared" si="2"/>
        <v>971937.28874070337</v>
      </c>
      <c r="F55" s="12">
        <f t="shared" si="9"/>
        <v>64362311.985601157</v>
      </c>
    </row>
    <row r="56" spans="2:6" x14ac:dyDescent="0.25">
      <c r="B56" s="44">
        <v>43</v>
      </c>
      <c r="C56" s="12">
        <f t="shared" si="0"/>
        <v>1405444.5525197759</v>
      </c>
      <c r="D56" s="12">
        <f t="shared" si="1"/>
        <v>440009.87273575866</v>
      </c>
      <c r="E56" s="12">
        <f t="shared" si="2"/>
        <v>965434.67978401727</v>
      </c>
      <c r="F56" s="12">
        <f t="shared" si="9"/>
        <v>63922302.112865396</v>
      </c>
    </row>
    <row r="57" spans="2:6" x14ac:dyDescent="0.25">
      <c r="B57" s="44">
        <v>44</v>
      </c>
      <c r="C57" s="12">
        <f t="shared" si="0"/>
        <v>1405444.5525197759</v>
      </c>
      <c r="D57" s="12">
        <f t="shared" si="1"/>
        <v>446610.02082679502</v>
      </c>
      <c r="E57" s="12">
        <f t="shared" si="2"/>
        <v>958834.53169298091</v>
      </c>
      <c r="F57" s="12">
        <f t="shared" si="9"/>
        <v>63475692.092038602</v>
      </c>
    </row>
    <row r="58" spans="2:6" x14ac:dyDescent="0.25">
      <c r="B58" s="44">
        <v>45</v>
      </c>
      <c r="C58" s="12">
        <f t="shared" si="0"/>
        <v>1405444.5525197759</v>
      </c>
      <c r="D58" s="12">
        <f t="shared" si="1"/>
        <v>453309.17113919696</v>
      </c>
      <c r="E58" s="12">
        <f t="shared" si="2"/>
        <v>952135.38138057897</v>
      </c>
      <c r="F58" s="12">
        <f t="shared" si="9"/>
        <v>63022382.920899406</v>
      </c>
    </row>
    <row r="59" spans="2:6" x14ac:dyDescent="0.25">
      <c r="B59" s="44">
        <v>46</v>
      </c>
      <c r="C59" s="12">
        <f>$C$9</f>
        <v>1405444.5525197759</v>
      </c>
      <c r="D59" s="12">
        <f>C59-E59</f>
        <v>460108.80870628485</v>
      </c>
      <c r="E59" s="12">
        <f>F58*$C$7</f>
        <v>945335.74381349108</v>
      </c>
      <c r="F59" s="12">
        <f>F58-D59</f>
        <v>62562274.112193123</v>
      </c>
    </row>
    <row r="60" spans="2:6" x14ac:dyDescent="0.25">
      <c r="B60" s="44">
        <v>47</v>
      </c>
      <c r="C60" s="12">
        <f t="shared" si="0"/>
        <v>1405444.5525197759</v>
      </c>
      <c r="D60" s="12">
        <f t="shared" si="1"/>
        <v>467010.44083687908</v>
      </c>
      <c r="E60" s="12">
        <f t="shared" si="2"/>
        <v>938434.11168289685</v>
      </c>
      <c r="F60" s="12">
        <f t="shared" ref="F60:F69" si="10">F59-D60</f>
        <v>62095263.671356246</v>
      </c>
    </row>
    <row r="61" spans="2:6" x14ac:dyDescent="0.25">
      <c r="B61" s="44">
        <v>48</v>
      </c>
      <c r="C61" s="12">
        <f t="shared" si="0"/>
        <v>1405444.5525197759</v>
      </c>
      <c r="D61" s="12">
        <f t="shared" si="1"/>
        <v>474015.59744943224</v>
      </c>
      <c r="E61" s="12">
        <f t="shared" si="2"/>
        <v>931428.95507034368</v>
      </c>
      <c r="F61" s="12">
        <f t="shared" si="10"/>
        <v>61621248.073906817</v>
      </c>
    </row>
    <row r="62" spans="2:6" x14ac:dyDescent="0.25">
      <c r="B62" s="44">
        <v>49</v>
      </c>
      <c r="C62" s="12">
        <f t="shared" si="0"/>
        <v>1405444.5525197759</v>
      </c>
      <c r="D62" s="12">
        <f t="shared" si="1"/>
        <v>481125.83141117368</v>
      </c>
      <c r="E62" s="12">
        <f t="shared" si="2"/>
        <v>924318.72110860224</v>
      </c>
      <c r="F62" s="12">
        <f t="shared" si="10"/>
        <v>61140122.242495641</v>
      </c>
    </row>
    <row r="63" spans="2:6" x14ac:dyDescent="0.25">
      <c r="B63" s="44">
        <v>50</v>
      </c>
      <c r="C63" s="12">
        <f t="shared" si="0"/>
        <v>1405444.5525197759</v>
      </c>
      <c r="D63" s="12">
        <f t="shared" si="1"/>
        <v>488342.71888234129</v>
      </c>
      <c r="E63" s="12">
        <f t="shared" si="2"/>
        <v>917101.83363743464</v>
      </c>
      <c r="F63" s="12">
        <f t="shared" si="10"/>
        <v>60651779.523613296</v>
      </c>
    </row>
    <row r="64" spans="2:6" x14ac:dyDescent="0.25">
      <c r="B64" s="44">
        <v>51</v>
      </c>
      <c r="C64" s="12">
        <f t="shared" si="0"/>
        <v>1405444.5525197759</v>
      </c>
      <c r="D64" s="12">
        <f t="shared" si="1"/>
        <v>495667.85966557648</v>
      </c>
      <c r="E64" s="12">
        <f t="shared" si="2"/>
        <v>909776.69285419944</v>
      </c>
      <c r="F64" s="12">
        <f t="shared" si="10"/>
        <v>60156111.663947716</v>
      </c>
    </row>
    <row r="65" spans="2:6" x14ac:dyDescent="0.25">
      <c r="B65" s="44">
        <v>52</v>
      </c>
      <c r="C65" s="12">
        <f t="shared" si="0"/>
        <v>1405444.5525197759</v>
      </c>
      <c r="D65" s="12">
        <f t="shared" si="1"/>
        <v>503102.87756056024</v>
      </c>
      <c r="E65" s="12">
        <f t="shared" si="2"/>
        <v>902341.67495921568</v>
      </c>
      <c r="F65" s="12">
        <f t="shared" si="10"/>
        <v>59653008.786387153</v>
      </c>
    </row>
    <row r="66" spans="2:6" x14ac:dyDescent="0.25">
      <c r="B66" s="44">
        <v>53</v>
      </c>
      <c r="C66" s="12">
        <f t="shared" si="0"/>
        <v>1405444.5525197759</v>
      </c>
      <c r="D66" s="12">
        <f t="shared" si="1"/>
        <v>510649.42072396865</v>
      </c>
      <c r="E66" s="12">
        <f t="shared" si="2"/>
        <v>894795.13179580728</v>
      </c>
      <c r="F66" s="12">
        <f t="shared" si="10"/>
        <v>59142359.365663186</v>
      </c>
    </row>
    <row r="67" spans="2:6" x14ac:dyDescent="0.25">
      <c r="B67" s="44">
        <v>54</v>
      </c>
      <c r="C67" s="12">
        <f t="shared" si="0"/>
        <v>1405444.5525197759</v>
      </c>
      <c r="D67" s="12">
        <f t="shared" si="1"/>
        <v>518309.16203482822</v>
      </c>
      <c r="E67" s="12">
        <f t="shared" si="2"/>
        <v>887135.39048494771</v>
      </c>
      <c r="F67" s="12">
        <f t="shared" si="10"/>
        <v>58624050.203628361</v>
      </c>
    </row>
    <row r="68" spans="2:6" x14ac:dyDescent="0.25">
      <c r="B68" s="44">
        <v>55</v>
      </c>
      <c r="C68" s="12">
        <f t="shared" si="0"/>
        <v>1405444.5525197759</v>
      </c>
      <c r="D68" s="12">
        <f t="shared" si="1"/>
        <v>526083.79946535057</v>
      </c>
      <c r="E68" s="12">
        <f t="shared" si="2"/>
        <v>879360.75305442535</v>
      </c>
      <c r="F68" s="12">
        <f t="shared" si="10"/>
        <v>58097966.40416301</v>
      </c>
    </row>
    <row r="69" spans="2:6" x14ac:dyDescent="0.25">
      <c r="B69" s="44">
        <v>56</v>
      </c>
      <c r="C69" s="12">
        <f t="shared" si="0"/>
        <v>1405444.5525197759</v>
      </c>
      <c r="D69" s="12">
        <f t="shared" si="1"/>
        <v>533975.05645733082</v>
      </c>
      <c r="E69" s="12">
        <f t="shared" si="2"/>
        <v>871469.49606244511</v>
      </c>
      <c r="F69" s="12">
        <f t="shared" si="10"/>
        <v>57563991.347705677</v>
      </c>
    </row>
    <row r="70" spans="2:6" x14ac:dyDescent="0.25">
      <c r="B70" s="44">
        <v>57</v>
      </c>
      <c r="C70" s="12">
        <f>$C$9</f>
        <v>1405444.5525197759</v>
      </c>
      <c r="D70" s="12">
        <f>C70-E70</f>
        <v>541984.68230419082</v>
      </c>
      <c r="E70" s="12">
        <f>F69*$C$7</f>
        <v>863459.87021558511</v>
      </c>
      <c r="F70" s="12">
        <f>F69-D70</f>
        <v>57022006.665401489</v>
      </c>
    </row>
    <row r="71" spans="2:6" x14ac:dyDescent="0.25">
      <c r="B71" s="44">
        <v>58</v>
      </c>
      <c r="C71" s="12">
        <f t="shared" si="0"/>
        <v>1405444.5525197759</v>
      </c>
      <c r="D71" s="12">
        <f t="shared" si="1"/>
        <v>550114.45253875363</v>
      </c>
      <c r="E71" s="12">
        <f t="shared" si="2"/>
        <v>855330.0999810223</v>
      </c>
      <c r="F71" s="12">
        <f t="shared" ref="F71:F77" si="11">F70-D71</f>
        <v>56471892.212862737</v>
      </c>
    </row>
    <row r="72" spans="2:6" x14ac:dyDescent="0.25">
      <c r="B72" s="44">
        <v>59</v>
      </c>
      <c r="C72" s="12">
        <f t="shared" si="0"/>
        <v>1405444.5525197759</v>
      </c>
      <c r="D72" s="12">
        <f t="shared" si="1"/>
        <v>558366.16932683485</v>
      </c>
      <c r="E72" s="12">
        <f t="shared" si="2"/>
        <v>847078.38319294108</v>
      </c>
      <c r="F72" s="12">
        <f t="shared" si="11"/>
        <v>55913526.043535903</v>
      </c>
    </row>
    <row r="73" spans="2:6" x14ac:dyDescent="0.25">
      <c r="B73" s="44">
        <v>60</v>
      </c>
      <c r="C73" s="12">
        <f t="shared" si="0"/>
        <v>1405444.5525197759</v>
      </c>
      <c r="D73" s="12">
        <f t="shared" si="1"/>
        <v>566741.66186673741</v>
      </c>
      <c r="E73" s="12">
        <f t="shared" si="2"/>
        <v>838702.89065303851</v>
      </c>
      <c r="F73" s="12">
        <f t="shared" si="11"/>
        <v>55346784.381669164</v>
      </c>
    </row>
    <row r="74" spans="2:6" x14ac:dyDescent="0.25">
      <c r="B74" s="44">
        <v>61</v>
      </c>
      <c r="C74" s="12">
        <f t="shared" si="0"/>
        <v>1405444.5525197759</v>
      </c>
      <c r="D74" s="12">
        <f t="shared" si="1"/>
        <v>575242.78679473849</v>
      </c>
      <c r="E74" s="12">
        <f t="shared" si="2"/>
        <v>830201.76572503743</v>
      </c>
      <c r="F74" s="12">
        <f t="shared" si="11"/>
        <v>54771541.594874427</v>
      </c>
    </row>
    <row r="75" spans="2:6" x14ac:dyDescent="0.25">
      <c r="B75" s="44">
        <v>62</v>
      </c>
      <c r="C75" s="12">
        <f t="shared" si="0"/>
        <v>1405444.5525197759</v>
      </c>
      <c r="D75" s="12">
        <f t="shared" si="1"/>
        <v>583871.42859665956</v>
      </c>
      <c r="E75" s="12">
        <f t="shared" si="2"/>
        <v>821573.12392311636</v>
      </c>
      <c r="F75" s="12">
        <f t="shared" si="11"/>
        <v>54187670.166277766</v>
      </c>
    </row>
    <row r="76" spans="2:6" x14ac:dyDescent="0.25">
      <c r="B76" s="44">
        <v>63</v>
      </c>
      <c r="C76" s="12">
        <f t="shared" si="0"/>
        <v>1405444.5525197759</v>
      </c>
      <c r="D76" s="12">
        <f t="shared" si="1"/>
        <v>592629.50002560951</v>
      </c>
      <c r="E76" s="12">
        <f t="shared" si="2"/>
        <v>812815.05249416642</v>
      </c>
      <c r="F76" s="12">
        <f t="shared" si="11"/>
        <v>53595040.666252159</v>
      </c>
    </row>
    <row r="77" spans="2:6" x14ac:dyDescent="0.25">
      <c r="B77" s="44">
        <v>64</v>
      </c>
      <c r="C77" s="12">
        <f t="shared" si="0"/>
        <v>1405444.5525197759</v>
      </c>
      <c r="D77" s="12">
        <f t="shared" si="1"/>
        <v>601518.94252599357</v>
      </c>
      <c r="E77" s="12">
        <f t="shared" si="2"/>
        <v>803925.60999378236</v>
      </c>
      <c r="F77" s="12">
        <f t="shared" si="11"/>
        <v>52993521.723726168</v>
      </c>
    </row>
    <row r="78" spans="2:6" x14ac:dyDescent="0.25">
      <c r="B78" s="44">
        <v>65</v>
      </c>
      <c r="C78" s="12">
        <f>$C$9</f>
        <v>1405444.5525197759</v>
      </c>
      <c r="D78" s="12">
        <f>C78-E78</f>
        <v>610541.72666388343</v>
      </c>
      <c r="E78" s="12">
        <f>F77*$C$7</f>
        <v>794902.8258558925</v>
      </c>
      <c r="F78" s="12">
        <f>F77-D78</f>
        <v>52382979.997062288</v>
      </c>
    </row>
    <row r="79" spans="2:6" x14ac:dyDescent="0.25">
      <c r="B79" s="44">
        <v>66</v>
      </c>
      <c r="C79" s="12">
        <f t="shared" si="0"/>
        <v>1405444.5525197759</v>
      </c>
      <c r="D79" s="12">
        <f t="shared" si="1"/>
        <v>619699.85256384162</v>
      </c>
      <c r="E79" s="12">
        <f t="shared" si="2"/>
        <v>785744.69995593431</v>
      </c>
      <c r="F79" s="12">
        <f t="shared" ref="F79:F91" si="12">F78-D79</f>
        <v>51763280.144498445</v>
      </c>
    </row>
    <row r="80" spans="2:6" x14ac:dyDescent="0.25">
      <c r="B80" s="44">
        <v>67</v>
      </c>
      <c r="C80" s="12">
        <f t="shared" ref="C80:C91" si="13">$C$9</f>
        <v>1405444.5525197759</v>
      </c>
      <c r="D80" s="12">
        <f t="shared" ref="D80:D91" si="14">C80-E80</f>
        <v>628995.35035229928</v>
      </c>
      <c r="E80" s="12">
        <f t="shared" ref="E80:E91" si="15">F79*$C$7</f>
        <v>776449.20216747664</v>
      </c>
      <c r="F80" s="12">
        <f t="shared" si="12"/>
        <v>51134284.794146143</v>
      </c>
    </row>
    <row r="81" spans="2:6" x14ac:dyDescent="0.25">
      <c r="B81" s="44">
        <v>68</v>
      </c>
      <c r="C81" s="12">
        <f t="shared" si="13"/>
        <v>1405444.5525197759</v>
      </c>
      <c r="D81" s="12">
        <f t="shared" si="14"/>
        <v>638430.28060758382</v>
      </c>
      <c r="E81" s="12">
        <f t="shared" si="15"/>
        <v>767014.27191219211</v>
      </c>
      <c r="F81" s="12">
        <f t="shared" si="12"/>
        <v>50495854.513538562</v>
      </c>
    </row>
    <row r="82" spans="2:6" x14ac:dyDescent="0.25">
      <c r="B82" s="44">
        <v>69</v>
      </c>
      <c r="C82" s="12">
        <f t="shared" si="13"/>
        <v>1405444.5525197759</v>
      </c>
      <c r="D82" s="12">
        <f t="shared" si="14"/>
        <v>648006.73481669754</v>
      </c>
      <c r="E82" s="12">
        <f t="shared" si="15"/>
        <v>757437.81770307838</v>
      </c>
      <c r="F82" s="12">
        <f t="shared" si="12"/>
        <v>49847847.778721862</v>
      </c>
    </row>
    <row r="83" spans="2:6" x14ac:dyDescent="0.25">
      <c r="B83" s="44">
        <v>70</v>
      </c>
      <c r="C83" s="12">
        <f t="shared" si="13"/>
        <v>1405444.5525197759</v>
      </c>
      <c r="D83" s="12">
        <f t="shared" si="14"/>
        <v>657726.83583894803</v>
      </c>
      <c r="E83" s="12">
        <f t="shared" si="15"/>
        <v>747717.7166808279</v>
      </c>
      <c r="F83" s="12">
        <f t="shared" si="12"/>
        <v>49190120.94288291</v>
      </c>
    </row>
    <row r="84" spans="2:6" x14ac:dyDescent="0.25">
      <c r="B84" s="44">
        <v>71</v>
      </c>
      <c r="C84" s="12">
        <f t="shared" si="13"/>
        <v>1405444.5525197759</v>
      </c>
      <c r="D84" s="12">
        <f t="shared" si="14"/>
        <v>667592.73837653233</v>
      </c>
      <c r="E84" s="12">
        <f t="shared" si="15"/>
        <v>737851.8141432436</v>
      </c>
      <c r="F84" s="12">
        <f t="shared" si="12"/>
        <v>48522528.204506375</v>
      </c>
    </row>
    <row r="85" spans="2:6" x14ac:dyDescent="0.25">
      <c r="B85" s="44">
        <v>72</v>
      </c>
      <c r="C85" s="12">
        <f t="shared" si="13"/>
        <v>1405444.5525197759</v>
      </c>
      <c r="D85" s="12">
        <f t="shared" si="14"/>
        <v>677606.62945218035</v>
      </c>
      <c r="E85" s="12">
        <f t="shared" si="15"/>
        <v>727837.92306759558</v>
      </c>
      <c r="F85" s="12">
        <f t="shared" si="12"/>
        <v>47844921.575054191</v>
      </c>
    </row>
    <row r="86" spans="2:6" x14ac:dyDescent="0.25">
      <c r="B86" s="44">
        <v>73</v>
      </c>
      <c r="C86" s="12">
        <f t="shared" si="13"/>
        <v>1405444.5525197759</v>
      </c>
      <c r="D86" s="12">
        <f t="shared" si="14"/>
        <v>687770.72889396304</v>
      </c>
      <c r="E86" s="12">
        <f t="shared" si="15"/>
        <v>717673.82362581289</v>
      </c>
      <c r="F86" s="12">
        <f t="shared" si="12"/>
        <v>47157150.846160226</v>
      </c>
    </row>
    <row r="87" spans="2:6" x14ac:dyDescent="0.25">
      <c r="B87" s="44">
        <v>74</v>
      </c>
      <c r="C87" s="12">
        <f t="shared" si="13"/>
        <v>1405444.5525197759</v>
      </c>
      <c r="D87" s="12">
        <f t="shared" si="14"/>
        <v>698087.28982737253</v>
      </c>
      <c r="E87" s="12">
        <f t="shared" si="15"/>
        <v>707357.2626924034</v>
      </c>
      <c r="F87" s="12">
        <f t="shared" si="12"/>
        <v>46459063.556332856</v>
      </c>
    </row>
    <row r="88" spans="2:6" x14ac:dyDescent="0.25">
      <c r="B88" s="44">
        <v>75</v>
      </c>
      <c r="C88" s="12">
        <f t="shared" si="13"/>
        <v>1405444.5525197759</v>
      </c>
      <c r="D88" s="12">
        <f t="shared" si="14"/>
        <v>708558.5991747831</v>
      </c>
      <c r="E88" s="12">
        <f t="shared" si="15"/>
        <v>696885.95334499283</v>
      </c>
      <c r="F88" s="12">
        <f t="shared" si="12"/>
        <v>45750504.957158074</v>
      </c>
    </row>
    <row r="89" spans="2:6" x14ac:dyDescent="0.25">
      <c r="B89" s="44">
        <v>76</v>
      </c>
      <c r="C89" s="12">
        <f t="shared" si="13"/>
        <v>1405444.5525197759</v>
      </c>
      <c r="D89" s="12">
        <f t="shared" si="14"/>
        <v>719186.97816240485</v>
      </c>
      <c r="E89" s="12">
        <f t="shared" si="15"/>
        <v>686257.57435737108</v>
      </c>
      <c r="F89" s="12">
        <f t="shared" si="12"/>
        <v>45031317.978995666</v>
      </c>
    </row>
    <row r="90" spans="2:6" x14ac:dyDescent="0.25">
      <c r="B90" s="44">
        <v>77</v>
      </c>
      <c r="C90" s="12">
        <f t="shared" si="13"/>
        <v>1405444.5525197759</v>
      </c>
      <c r="D90" s="12">
        <f t="shared" si="14"/>
        <v>729974.78283484094</v>
      </c>
      <c r="E90" s="12">
        <f t="shared" si="15"/>
        <v>675469.76968493499</v>
      </c>
      <c r="F90" s="12">
        <f t="shared" si="12"/>
        <v>44301343.196160823</v>
      </c>
    </row>
    <row r="91" spans="2:6" x14ac:dyDescent="0.25">
      <c r="B91" s="44">
        <v>78</v>
      </c>
      <c r="C91" s="12">
        <f t="shared" si="13"/>
        <v>1405444.5525197759</v>
      </c>
      <c r="D91" s="12">
        <f t="shared" si="14"/>
        <v>740924.40457736363</v>
      </c>
      <c r="E91" s="12">
        <f t="shared" si="15"/>
        <v>664520.1479424123</v>
      </c>
      <c r="F91" s="12">
        <f t="shared" si="12"/>
        <v>43560418.791583456</v>
      </c>
    </row>
    <row r="92" spans="2:6" x14ac:dyDescent="0.25">
      <c r="B92" s="44">
        <v>79</v>
      </c>
      <c r="C92" s="12">
        <f>$C$9</f>
        <v>1405444.5525197759</v>
      </c>
      <c r="D92" s="12">
        <f>C92-E92</f>
        <v>752038.27064602415</v>
      </c>
      <c r="E92" s="12">
        <f>F91*$C$7</f>
        <v>653406.28187375178</v>
      </c>
      <c r="F92" s="12">
        <f>F91-D92</f>
        <v>42808380.520937435</v>
      </c>
    </row>
    <row r="93" spans="2:6" x14ac:dyDescent="0.25">
      <c r="B93" s="44">
        <v>80</v>
      </c>
      <c r="C93" s="12">
        <f t="shared" ref="C93:C105" si="16">$C$9</f>
        <v>1405444.5525197759</v>
      </c>
      <c r="D93" s="12">
        <f t="shared" ref="D93:D105" si="17">C93-E93</f>
        <v>763318.84470571438</v>
      </c>
      <c r="E93" s="12">
        <f t="shared" ref="E93:E105" si="18">F92*$C$7</f>
        <v>642125.70781406155</v>
      </c>
      <c r="F93" s="12">
        <f t="shared" ref="F93:F105" si="19">F92-D93</f>
        <v>42045061.67623172</v>
      </c>
    </row>
    <row r="94" spans="2:6" x14ac:dyDescent="0.25">
      <c r="B94" s="44">
        <v>81</v>
      </c>
      <c r="C94" s="12">
        <f t="shared" si="16"/>
        <v>1405444.5525197759</v>
      </c>
      <c r="D94" s="12">
        <f t="shared" si="17"/>
        <v>774768.62737630017</v>
      </c>
      <c r="E94" s="12">
        <f t="shared" si="18"/>
        <v>630675.92514347576</v>
      </c>
      <c r="F94" s="12">
        <f t="shared" si="19"/>
        <v>41270293.048855416</v>
      </c>
    </row>
    <row r="95" spans="2:6" x14ac:dyDescent="0.25">
      <c r="B95" s="44">
        <v>82</v>
      </c>
      <c r="C95" s="12">
        <f t="shared" si="16"/>
        <v>1405444.5525197759</v>
      </c>
      <c r="D95" s="12">
        <f t="shared" si="17"/>
        <v>786390.15678694472</v>
      </c>
      <c r="E95" s="12">
        <f t="shared" si="18"/>
        <v>619054.39573283121</v>
      </c>
      <c r="F95" s="12">
        <f t="shared" si="19"/>
        <v>40483902.892068475</v>
      </c>
    </row>
    <row r="96" spans="2:6" x14ac:dyDescent="0.25">
      <c r="B96" s="44">
        <v>83</v>
      </c>
      <c r="C96" s="12">
        <f t="shared" si="16"/>
        <v>1405444.5525197759</v>
      </c>
      <c r="D96" s="12">
        <f t="shared" si="17"/>
        <v>798186.00913874886</v>
      </c>
      <c r="E96" s="12">
        <f t="shared" si="18"/>
        <v>607258.54338102706</v>
      </c>
      <c r="F96" s="12">
        <f t="shared" si="19"/>
        <v>39685716.882929727</v>
      </c>
    </row>
    <row r="97" spans="2:6" x14ac:dyDescent="0.25">
      <c r="B97" s="44">
        <v>84</v>
      </c>
      <c r="C97" s="12">
        <f t="shared" si="16"/>
        <v>1405444.5525197759</v>
      </c>
      <c r="D97" s="12">
        <f t="shared" si="17"/>
        <v>810158.79927583004</v>
      </c>
      <c r="E97" s="12">
        <f t="shared" si="18"/>
        <v>595285.75324394589</v>
      </c>
      <c r="F97" s="12">
        <f t="shared" si="19"/>
        <v>38875558.083653897</v>
      </c>
    </row>
    <row r="98" spans="2:6" x14ac:dyDescent="0.25">
      <c r="B98" s="44">
        <v>85</v>
      </c>
      <c r="C98" s="12">
        <f t="shared" si="16"/>
        <v>1405444.5525197759</v>
      </c>
      <c r="D98" s="12">
        <f t="shared" si="17"/>
        <v>822311.18126496754</v>
      </c>
      <c r="E98" s="12">
        <f t="shared" si="18"/>
        <v>583133.37125480839</v>
      </c>
      <c r="F98" s="12">
        <f t="shared" si="19"/>
        <v>38053246.90238893</v>
      </c>
    </row>
    <row r="99" spans="2:6" x14ac:dyDescent="0.25">
      <c r="B99" s="44">
        <v>86</v>
      </c>
      <c r="C99" s="12">
        <f t="shared" si="16"/>
        <v>1405444.5525197759</v>
      </c>
      <c r="D99" s="12">
        <f t="shared" si="17"/>
        <v>834645.84898394195</v>
      </c>
      <c r="E99" s="12">
        <f t="shared" si="18"/>
        <v>570798.70353583398</v>
      </c>
      <c r="F99" s="12">
        <f t="shared" si="19"/>
        <v>37218601.053404987</v>
      </c>
    </row>
    <row r="100" spans="2:6" x14ac:dyDescent="0.25">
      <c r="B100" s="44">
        <v>87</v>
      </c>
      <c r="C100" s="12">
        <f t="shared" si="16"/>
        <v>1405444.5525197759</v>
      </c>
      <c r="D100" s="12">
        <f t="shared" si="17"/>
        <v>847165.53671870113</v>
      </c>
      <c r="E100" s="12">
        <f t="shared" si="18"/>
        <v>558279.0158010748</v>
      </c>
      <c r="F100" s="12">
        <f t="shared" si="19"/>
        <v>36371435.516686283</v>
      </c>
    </row>
    <row r="101" spans="2:6" x14ac:dyDescent="0.25">
      <c r="B101" s="44">
        <v>88</v>
      </c>
      <c r="C101" s="12">
        <f t="shared" si="16"/>
        <v>1405444.5525197759</v>
      </c>
      <c r="D101" s="12">
        <f t="shared" si="17"/>
        <v>859873.01976948173</v>
      </c>
      <c r="E101" s="12">
        <f t="shared" si="18"/>
        <v>545571.53275029419</v>
      </c>
      <c r="F101" s="12">
        <f t="shared" si="19"/>
        <v>35511562.496916801</v>
      </c>
    </row>
    <row r="102" spans="2:6" x14ac:dyDescent="0.25">
      <c r="B102" s="44">
        <v>89</v>
      </c>
      <c r="C102" s="12">
        <f t="shared" si="16"/>
        <v>1405444.5525197759</v>
      </c>
      <c r="D102" s="12">
        <f t="shared" si="17"/>
        <v>872771.11506602389</v>
      </c>
      <c r="E102" s="12">
        <f t="shared" si="18"/>
        <v>532673.43745375203</v>
      </c>
      <c r="F102" s="12">
        <f t="shared" si="19"/>
        <v>34638791.381850779</v>
      </c>
    </row>
    <row r="103" spans="2:6" x14ac:dyDescent="0.25">
      <c r="B103" s="44">
        <v>90</v>
      </c>
      <c r="C103" s="12">
        <f t="shared" si="16"/>
        <v>1405444.5525197759</v>
      </c>
      <c r="D103" s="12">
        <f t="shared" si="17"/>
        <v>885862.68179201428</v>
      </c>
      <c r="E103" s="12">
        <f t="shared" si="18"/>
        <v>519581.87072776165</v>
      </c>
      <c r="F103" s="12">
        <f t="shared" si="19"/>
        <v>33752928.700058766</v>
      </c>
    </row>
    <row r="104" spans="2:6" x14ac:dyDescent="0.25">
      <c r="B104" s="44">
        <v>91</v>
      </c>
      <c r="C104" s="12">
        <f t="shared" si="16"/>
        <v>1405444.5525197759</v>
      </c>
      <c r="D104" s="12">
        <f t="shared" si="17"/>
        <v>899150.62201889441</v>
      </c>
      <c r="E104" s="12">
        <f t="shared" si="18"/>
        <v>506293.93050088146</v>
      </c>
      <c r="F104" s="12">
        <f t="shared" si="19"/>
        <v>32853778.07803987</v>
      </c>
    </row>
    <row r="105" spans="2:6" x14ac:dyDescent="0.25">
      <c r="B105" s="44">
        <v>92</v>
      </c>
      <c r="C105" s="12">
        <f t="shared" si="16"/>
        <v>1405444.5525197759</v>
      </c>
      <c r="D105" s="12">
        <f t="shared" si="17"/>
        <v>912637.88134917791</v>
      </c>
      <c r="E105" s="12">
        <f t="shared" si="18"/>
        <v>492806.67117059801</v>
      </c>
      <c r="F105" s="12">
        <f t="shared" si="19"/>
        <v>31941140.196690693</v>
      </c>
    </row>
    <row r="106" spans="2:6" x14ac:dyDescent="0.25">
      <c r="B106" s="44">
        <v>93</v>
      </c>
      <c r="C106" s="12">
        <f>$C$9</f>
        <v>1405444.5525197759</v>
      </c>
      <c r="D106" s="12">
        <f>C106-E106</f>
        <v>926327.44956941553</v>
      </c>
      <c r="E106" s="12">
        <f>F105*$C$7</f>
        <v>479117.10295036039</v>
      </c>
      <c r="F106" s="12">
        <f>F105-D106</f>
        <v>31014812.747121278</v>
      </c>
    </row>
    <row r="107" spans="2:6" x14ac:dyDescent="0.25">
      <c r="B107" s="44">
        <v>94</v>
      </c>
      <c r="C107" s="12">
        <f t="shared" ref="C107:C121" si="20">$C$9</f>
        <v>1405444.5525197759</v>
      </c>
      <c r="D107" s="12">
        <f t="shared" ref="D107:D121" si="21">C107-E107</f>
        <v>940222.36131295678</v>
      </c>
      <c r="E107" s="12">
        <f t="shared" ref="E107:E121" si="22">F106*$C$7</f>
        <v>465222.19120681915</v>
      </c>
      <c r="F107" s="12">
        <f t="shared" ref="F107:F121" si="23">F106-D107</f>
        <v>30074590.385808323</v>
      </c>
    </row>
    <row r="108" spans="2:6" x14ac:dyDescent="0.25">
      <c r="B108" s="44">
        <v>95</v>
      </c>
      <c r="C108" s="12">
        <f t="shared" si="20"/>
        <v>1405444.5525197759</v>
      </c>
      <c r="D108" s="12">
        <f t="shared" si="21"/>
        <v>954325.69673265109</v>
      </c>
      <c r="E108" s="12">
        <f t="shared" si="22"/>
        <v>451118.85578712483</v>
      </c>
      <c r="F108" s="12">
        <f t="shared" si="23"/>
        <v>29120264.689075671</v>
      </c>
    </row>
    <row r="109" spans="2:6" x14ac:dyDescent="0.25">
      <c r="B109" s="44">
        <v>96</v>
      </c>
      <c r="C109" s="12">
        <f t="shared" si="20"/>
        <v>1405444.5525197759</v>
      </c>
      <c r="D109" s="12">
        <f t="shared" si="21"/>
        <v>968640.58218364092</v>
      </c>
      <c r="E109" s="12">
        <f t="shared" si="22"/>
        <v>436803.97033613507</v>
      </c>
      <c r="F109" s="12">
        <f t="shared" si="23"/>
        <v>28151624.106892031</v>
      </c>
    </row>
    <row r="110" spans="2:6" x14ac:dyDescent="0.25">
      <c r="B110" s="44">
        <v>97</v>
      </c>
      <c r="C110" s="12">
        <f t="shared" si="20"/>
        <v>1405444.5525197759</v>
      </c>
      <c r="D110" s="12">
        <f t="shared" si="21"/>
        <v>983170.19091639551</v>
      </c>
      <c r="E110" s="12">
        <f t="shared" si="22"/>
        <v>422274.36160338047</v>
      </c>
      <c r="F110" s="12">
        <f t="shared" si="23"/>
        <v>27168453.915975634</v>
      </c>
    </row>
    <row r="111" spans="2:6" x14ac:dyDescent="0.25">
      <c r="B111" s="44">
        <v>98</v>
      </c>
      <c r="C111" s="12">
        <f t="shared" si="20"/>
        <v>1405444.5525197759</v>
      </c>
      <c r="D111" s="12">
        <f t="shared" si="21"/>
        <v>997917.74378014146</v>
      </c>
      <c r="E111" s="12">
        <f t="shared" si="22"/>
        <v>407526.80873963452</v>
      </c>
      <c r="F111" s="12">
        <f t="shared" si="23"/>
        <v>26170536.172195494</v>
      </c>
    </row>
    <row r="112" spans="2:6" x14ac:dyDescent="0.25">
      <c r="B112" s="44">
        <v>99</v>
      </c>
      <c r="C112" s="12">
        <f t="shared" si="20"/>
        <v>1405444.5525197759</v>
      </c>
      <c r="D112" s="12">
        <f t="shared" si="21"/>
        <v>1012886.5099368435</v>
      </c>
      <c r="E112" s="12">
        <f t="shared" si="22"/>
        <v>392558.04258293239</v>
      </c>
      <c r="F112" s="12">
        <f t="shared" si="23"/>
        <v>25157649.662258651</v>
      </c>
    </row>
    <row r="113" spans="2:6" x14ac:dyDescent="0.25">
      <c r="B113" s="44">
        <v>100</v>
      </c>
      <c r="C113" s="12">
        <f t="shared" si="20"/>
        <v>1405444.5525197759</v>
      </c>
      <c r="D113" s="12">
        <f t="shared" si="21"/>
        <v>1028079.8075858962</v>
      </c>
      <c r="E113" s="12">
        <f t="shared" si="22"/>
        <v>377364.74493387976</v>
      </c>
      <c r="F113" s="12">
        <f t="shared" si="23"/>
        <v>24129569.854672756</v>
      </c>
    </row>
    <row r="114" spans="2:6" x14ac:dyDescent="0.25">
      <c r="B114" s="44">
        <v>101</v>
      </c>
      <c r="C114" s="12">
        <f t="shared" si="20"/>
        <v>1405444.5525197759</v>
      </c>
      <c r="D114" s="12">
        <f t="shared" si="21"/>
        <v>1043501.0046996847</v>
      </c>
      <c r="E114" s="12">
        <f t="shared" si="22"/>
        <v>361943.54782009131</v>
      </c>
      <c r="F114" s="12">
        <f t="shared" si="23"/>
        <v>23086068.849973071</v>
      </c>
    </row>
    <row r="115" spans="2:6" x14ac:dyDescent="0.25">
      <c r="B115" s="44">
        <v>102</v>
      </c>
      <c r="C115" s="12">
        <f t="shared" si="20"/>
        <v>1405444.5525197759</v>
      </c>
      <c r="D115" s="12">
        <f t="shared" si="21"/>
        <v>1059153.5197701799</v>
      </c>
      <c r="E115" s="12">
        <f t="shared" si="22"/>
        <v>346291.03274959605</v>
      </c>
      <c r="F115" s="12">
        <f t="shared" si="23"/>
        <v>22026915.330202892</v>
      </c>
    </row>
    <row r="116" spans="2:6" x14ac:dyDescent="0.25">
      <c r="B116" s="44">
        <v>103</v>
      </c>
      <c r="C116" s="12">
        <f t="shared" si="20"/>
        <v>1405444.5525197759</v>
      </c>
      <c r="D116" s="12">
        <f t="shared" si="21"/>
        <v>1075040.8225667325</v>
      </c>
      <c r="E116" s="12">
        <f t="shared" si="22"/>
        <v>330403.7299530434</v>
      </c>
      <c r="F116" s="12">
        <f t="shared" si="23"/>
        <v>20951874.50763616</v>
      </c>
    </row>
    <row r="117" spans="2:6" x14ac:dyDescent="0.25">
      <c r="B117" s="44">
        <v>104</v>
      </c>
      <c r="C117" s="12">
        <f t="shared" si="20"/>
        <v>1405444.5525197759</v>
      </c>
      <c r="D117" s="12">
        <f t="shared" si="21"/>
        <v>1091166.4349052336</v>
      </c>
      <c r="E117" s="12">
        <f t="shared" si="22"/>
        <v>314278.11761454237</v>
      </c>
      <c r="F117" s="12">
        <f t="shared" si="23"/>
        <v>19860708.072730925</v>
      </c>
    </row>
    <row r="118" spans="2:6" x14ac:dyDescent="0.25">
      <c r="B118" s="44">
        <v>105</v>
      </c>
      <c r="C118" s="12">
        <f t="shared" si="20"/>
        <v>1405444.5525197759</v>
      </c>
      <c r="D118" s="12">
        <f t="shared" si="21"/>
        <v>1107533.931428812</v>
      </c>
      <c r="E118" s="12">
        <f t="shared" si="22"/>
        <v>297910.62109096389</v>
      </c>
      <c r="F118" s="12">
        <f t="shared" si="23"/>
        <v>18753174.141302112</v>
      </c>
    </row>
    <row r="119" spans="2:6" x14ac:dyDescent="0.25">
      <c r="B119" s="44">
        <v>106</v>
      </c>
      <c r="C119" s="12">
        <f t="shared" si="20"/>
        <v>1405444.5525197759</v>
      </c>
      <c r="D119" s="12">
        <f t="shared" si="21"/>
        <v>1124146.9404002442</v>
      </c>
      <c r="E119" s="12">
        <f t="shared" si="22"/>
        <v>281297.61211953167</v>
      </c>
      <c r="F119" s="12">
        <f t="shared" si="23"/>
        <v>17629027.20090187</v>
      </c>
    </row>
    <row r="120" spans="2:6" x14ac:dyDescent="0.25">
      <c r="B120" s="44">
        <v>107</v>
      </c>
      <c r="C120" s="12">
        <f t="shared" si="20"/>
        <v>1405444.5525197759</v>
      </c>
      <c r="D120" s="12">
        <f t="shared" si="21"/>
        <v>1141009.1445062479</v>
      </c>
      <c r="E120" s="12">
        <f t="shared" si="22"/>
        <v>264435.40801352804</v>
      </c>
      <c r="F120" s="12">
        <f t="shared" si="23"/>
        <v>16488018.056395622</v>
      </c>
    </row>
    <row r="121" spans="2:6" x14ac:dyDescent="0.25">
      <c r="B121" s="44">
        <v>108</v>
      </c>
      <c r="C121" s="12">
        <f t="shared" si="20"/>
        <v>1405444.5525197759</v>
      </c>
      <c r="D121" s="12">
        <f t="shared" si="21"/>
        <v>1158124.2816738416</v>
      </c>
      <c r="E121" s="12">
        <f t="shared" si="22"/>
        <v>247320.27084593431</v>
      </c>
      <c r="F121" s="12">
        <f t="shared" si="23"/>
        <v>15329893.774721781</v>
      </c>
    </row>
    <row r="122" spans="2:6" x14ac:dyDescent="0.25">
      <c r="B122" s="44">
        <v>109</v>
      </c>
      <c r="C122" s="12">
        <f>$C$9</f>
        <v>1405444.5525197759</v>
      </c>
      <c r="D122" s="12">
        <f>C122-E122</f>
        <v>1175496.1458989491</v>
      </c>
      <c r="E122" s="12">
        <f>F121*$C$7</f>
        <v>229948.40662082672</v>
      </c>
      <c r="F122" s="12">
        <f>F121-D122</f>
        <v>14154397.628822831</v>
      </c>
    </row>
    <row r="123" spans="2:6" x14ac:dyDescent="0.25">
      <c r="B123" s="44">
        <v>110</v>
      </c>
      <c r="C123" s="12">
        <f t="shared" ref="C123:C132" si="24">$C$9</f>
        <v>1405444.5525197759</v>
      </c>
      <c r="D123" s="12">
        <f t="shared" ref="D123:D132" si="25">C123-E123</f>
        <v>1193128.5880874335</v>
      </c>
      <c r="E123" s="12">
        <f t="shared" ref="E123:E132" si="26">F122*$C$7</f>
        <v>212315.96443234247</v>
      </c>
      <c r="F123" s="12">
        <f t="shared" ref="F123:F132" si="27">F122-D123</f>
        <v>12961269.040735397</v>
      </c>
    </row>
    <row r="124" spans="2:6" x14ac:dyDescent="0.25">
      <c r="B124" s="44">
        <v>111</v>
      </c>
      <c r="C124" s="12">
        <f t="shared" si="24"/>
        <v>1405444.5525197759</v>
      </c>
      <c r="D124" s="12">
        <f t="shared" si="25"/>
        <v>1211025.516908745</v>
      </c>
      <c r="E124" s="12">
        <f t="shared" si="26"/>
        <v>194419.03561103097</v>
      </c>
      <c r="F124" s="12">
        <f t="shared" si="27"/>
        <v>11750243.523826653</v>
      </c>
    </row>
    <row r="125" spans="2:6" x14ac:dyDescent="0.25">
      <c r="B125" s="44">
        <v>112</v>
      </c>
      <c r="C125" s="12">
        <f t="shared" si="24"/>
        <v>1405444.5525197759</v>
      </c>
      <c r="D125" s="12">
        <f t="shared" si="25"/>
        <v>1229190.8996623761</v>
      </c>
      <c r="E125" s="12">
        <f t="shared" si="26"/>
        <v>176253.65285739978</v>
      </c>
      <c r="F125" s="12">
        <f t="shared" si="27"/>
        <v>10521052.624164278</v>
      </c>
    </row>
    <row r="126" spans="2:6" x14ac:dyDescent="0.25">
      <c r="B126" s="44">
        <v>113</v>
      </c>
      <c r="C126" s="12">
        <f t="shared" si="24"/>
        <v>1405444.5525197759</v>
      </c>
      <c r="D126" s="12">
        <f t="shared" si="25"/>
        <v>1247628.7631573118</v>
      </c>
      <c r="E126" s="12">
        <f t="shared" si="26"/>
        <v>157815.78936246416</v>
      </c>
      <c r="F126" s="12">
        <f t="shared" si="27"/>
        <v>9273423.8610069659</v>
      </c>
    </row>
    <row r="127" spans="2:6" x14ac:dyDescent="0.25">
      <c r="B127" s="44">
        <v>114</v>
      </c>
      <c r="C127" s="12">
        <f t="shared" si="24"/>
        <v>1405444.5525197759</v>
      </c>
      <c r="D127" s="12">
        <f t="shared" si="25"/>
        <v>1266343.1946046716</v>
      </c>
      <c r="E127" s="12">
        <f t="shared" si="26"/>
        <v>139101.35791510448</v>
      </c>
      <c r="F127" s="12">
        <f t="shared" si="27"/>
        <v>8007080.6664022943</v>
      </c>
    </row>
    <row r="128" spans="2:6" x14ac:dyDescent="0.25">
      <c r="B128" s="44">
        <v>115</v>
      </c>
      <c r="C128" s="12">
        <f t="shared" si="24"/>
        <v>1405444.5525197759</v>
      </c>
      <c r="D128" s="12">
        <f t="shared" si="25"/>
        <v>1285338.3425237415</v>
      </c>
      <c r="E128" s="12">
        <f t="shared" si="26"/>
        <v>120106.20999603441</v>
      </c>
      <c r="F128" s="12">
        <f t="shared" si="27"/>
        <v>6721742.3238785528</v>
      </c>
    </row>
    <row r="129" spans="1:16" x14ac:dyDescent="0.25">
      <c r="B129" s="44">
        <v>116</v>
      </c>
      <c r="C129" s="12">
        <f t="shared" si="24"/>
        <v>1405444.5525197759</v>
      </c>
      <c r="D129" s="12">
        <f t="shared" si="25"/>
        <v>1304618.4176615977</v>
      </c>
      <c r="E129" s="12">
        <f t="shared" si="26"/>
        <v>100826.13485817829</v>
      </c>
      <c r="F129" s="12">
        <f t="shared" si="27"/>
        <v>5417123.9062169548</v>
      </c>
    </row>
    <row r="130" spans="1:16" x14ac:dyDescent="0.25">
      <c r="B130" s="44">
        <v>117</v>
      </c>
      <c r="C130" s="12">
        <f t="shared" si="24"/>
        <v>1405444.5525197759</v>
      </c>
      <c r="D130" s="12">
        <f t="shared" si="25"/>
        <v>1324187.6939265216</v>
      </c>
      <c r="E130" s="12">
        <f t="shared" si="26"/>
        <v>81256.858593254321</v>
      </c>
      <c r="F130" s="12">
        <f t="shared" si="27"/>
        <v>4092936.2122904332</v>
      </c>
    </row>
    <row r="131" spans="1:16" x14ac:dyDescent="0.25">
      <c r="B131" s="44">
        <v>118</v>
      </c>
      <c r="C131" s="12">
        <f t="shared" si="24"/>
        <v>1405444.5525197759</v>
      </c>
      <c r="D131" s="12">
        <f t="shared" si="25"/>
        <v>1344050.5093354194</v>
      </c>
      <c r="E131" s="12">
        <f t="shared" si="26"/>
        <v>61394.043184356495</v>
      </c>
      <c r="F131" s="12">
        <f t="shared" si="27"/>
        <v>2748885.7029550141</v>
      </c>
    </row>
    <row r="132" spans="1:16" x14ac:dyDescent="0.25">
      <c r="B132" s="44">
        <v>119</v>
      </c>
      <c r="C132" s="12">
        <f t="shared" si="24"/>
        <v>1405444.5525197759</v>
      </c>
      <c r="D132" s="12">
        <f t="shared" si="25"/>
        <v>1364211.2669754508</v>
      </c>
      <c r="E132" s="12">
        <f t="shared" si="26"/>
        <v>41233.285544325212</v>
      </c>
      <c r="F132" s="12">
        <f t="shared" si="27"/>
        <v>1384674.4359795633</v>
      </c>
    </row>
    <row r="133" spans="1:16" x14ac:dyDescent="0.25">
      <c r="B133" s="44">
        <v>120</v>
      </c>
      <c r="C133" s="12">
        <f>$C$9</f>
        <v>1405444.5525197759</v>
      </c>
      <c r="D133" s="12">
        <f>C133-E133</f>
        <v>1384674.4359800825</v>
      </c>
      <c r="E133" s="12">
        <f>F132*$C$7</f>
        <v>20770.116539693448</v>
      </c>
      <c r="F133" s="12">
        <f>F132-D133</f>
        <v>-5.1921233534812927E-7</v>
      </c>
    </row>
    <row r="134" spans="1:16" x14ac:dyDescent="0.25">
      <c r="E134" s="68">
        <f>SUM(E14:E133)</f>
        <v>90653346.302372545</v>
      </c>
      <c r="F134" s="276">
        <f>PV(C7,B133,,-E134)</f>
        <v>15186537.609268142</v>
      </c>
    </row>
    <row r="135" spans="1:16" x14ac:dyDescent="0.25">
      <c r="A135" s="165" t="s">
        <v>268</v>
      </c>
      <c r="B135" s="165"/>
      <c r="C135" s="165"/>
      <c r="D135" s="165"/>
    </row>
    <row r="137" spans="1:16" x14ac:dyDescent="0.25">
      <c r="B137" s="211" t="s">
        <v>254</v>
      </c>
      <c r="C137" s="211"/>
      <c r="D137" s="12">
        <v>78000000</v>
      </c>
      <c r="L137" s="211" t="s">
        <v>265</v>
      </c>
      <c r="M137" s="211"/>
      <c r="N137" s="211"/>
      <c r="O137" s="227">
        <v>0.19561817146153326</v>
      </c>
    </row>
    <row r="138" spans="1:16" x14ac:dyDescent="0.25">
      <c r="B138" s="211" t="s">
        <v>259</v>
      </c>
      <c r="C138" s="211"/>
      <c r="D138" s="272">
        <v>1.4999999999999999E-2</v>
      </c>
      <c r="L138" s="273"/>
      <c r="M138" s="236" t="s">
        <v>228</v>
      </c>
      <c r="N138" s="236"/>
      <c r="O138" s="44">
        <v>10</v>
      </c>
      <c r="P138" t="s">
        <v>266</v>
      </c>
    </row>
    <row r="139" spans="1:16" x14ac:dyDescent="0.25">
      <c r="B139" s="211" t="s">
        <v>228</v>
      </c>
      <c r="C139" s="211"/>
      <c r="D139" s="44">
        <v>120</v>
      </c>
      <c r="E139" t="s">
        <v>261</v>
      </c>
      <c r="L139" s="273"/>
      <c r="M139" s="211" t="s">
        <v>111</v>
      </c>
      <c r="N139" s="211"/>
      <c r="O139" s="44">
        <v>7799999.9999999972</v>
      </c>
    </row>
    <row r="140" spans="1:16" x14ac:dyDescent="0.25">
      <c r="B140" s="211" t="s">
        <v>195</v>
      </c>
      <c r="C140" s="211"/>
      <c r="D140" s="44">
        <v>649999.99999999534</v>
      </c>
    </row>
    <row r="141" spans="1:16" x14ac:dyDescent="0.25">
      <c r="B141" s="144"/>
      <c r="C141" s="144"/>
      <c r="D141" s="273"/>
    </row>
    <row r="142" spans="1:16" x14ac:dyDescent="0.25">
      <c r="B142" s="274" t="s">
        <v>269</v>
      </c>
      <c r="C142" s="274"/>
      <c r="D142" s="274"/>
      <c r="E142" s="274"/>
      <c r="F142" s="274"/>
    </row>
    <row r="143" spans="1:16" x14ac:dyDescent="0.25">
      <c r="B143" s="44" t="s">
        <v>264</v>
      </c>
      <c r="C143" s="44" t="s">
        <v>110</v>
      </c>
      <c r="D143" s="44" t="s">
        <v>195</v>
      </c>
      <c r="E143" s="44" t="s">
        <v>206</v>
      </c>
      <c r="F143" s="44" t="s">
        <v>196</v>
      </c>
      <c r="L143" s="44" t="s">
        <v>267</v>
      </c>
      <c r="M143" s="44" t="s">
        <v>110</v>
      </c>
      <c r="N143" s="44" t="s">
        <v>195</v>
      </c>
      <c r="O143" s="44" t="s">
        <v>206</v>
      </c>
      <c r="P143" s="44" t="s">
        <v>196</v>
      </c>
    </row>
    <row r="144" spans="1:16" x14ac:dyDescent="0.25">
      <c r="B144" s="44">
        <v>0</v>
      </c>
      <c r="C144" s="12"/>
      <c r="D144" s="12"/>
      <c r="E144" s="12"/>
      <c r="F144" s="12">
        <f>D137</f>
        <v>78000000</v>
      </c>
      <c r="L144" s="44">
        <v>0</v>
      </c>
      <c r="M144" s="44"/>
      <c r="N144" s="44"/>
      <c r="O144" s="44"/>
      <c r="P144" s="217">
        <f>D137</f>
        <v>78000000</v>
      </c>
    </row>
    <row r="145" spans="2:16" x14ac:dyDescent="0.25">
      <c r="B145" s="44">
        <v>1</v>
      </c>
      <c r="C145" s="12">
        <f>D145+E145</f>
        <v>1819999.9999999953</v>
      </c>
      <c r="D145" s="12">
        <f>$D$140</f>
        <v>649999.99999999534</v>
      </c>
      <c r="E145" s="277">
        <f>F144*$D$138</f>
        <v>1170000</v>
      </c>
      <c r="F145" s="12">
        <f>F144-D145</f>
        <v>77350000</v>
      </c>
      <c r="L145" s="44">
        <v>1</v>
      </c>
      <c r="M145" s="12">
        <f>N145+O145</f>
        <v>23058217.373999592</v>
      </c>
      <c r="N145" s="12">
        <f>$O$139</f>
        <v>7799999.9999999972</v>
      </c>
      <c r="O145" s="12">
        <f>P144*$O$137</f>
        <v>15258217.373999594</v>
      </c>
      <c r="P145" s="12">
        <f>P144-N145</f>
        <v>70200000</v>
      </c>
    </row>
    <row r="146" spans="2:16" x14ac:dyDescent="0.25">
      <c r="B146" s="44">
        <v>2</v>
      </c>
      <c r="C146" s="12">
        <f t="shared" ref="C146:C209" si="28">D146+E146</f>
        <v>1810249.9999999953</v>
      </c>
      <c r="D146" s="12">
        <f t="shared" ref="D146:D209" si="29">$D$140</f>
        <v>649999.99999999534</v>
      </c>
      <c r="E146" s="277">
        <f t="shared" ref="E146:E209" si="30">F145*$D$138</f>
        <v>1160250</v>
      </c>
      <c r="F146" s="12">
        <f t="shared" ref="F146:F209" si="31">F145-D146</f>
        <v>76700000</v>
      </c>
      <c r="L146" s="44">
        <v>2</v>
      </c>
      <c r="M146" s="12">
        <f t="shared" ref="M146:M154" si="32">N146+O146</f>
        <v>21532395.636599634</v>
      </c>
      <c r="N146" s="12">
        <f t="shared" ref="N146:N154" si="33">$O$139</f>
        <v>7799999.9999999972</v>
      </c>
      <c r="O146" s="12">
        <f t="shared" ref="O146:O154" si="34">P145*$O$137</f>
        <v>13732395.636599636</v>
      </c>
      <c r="P146" s="12">
        <f t="shared" ref="P146:P154" si="35">P145-N146</f>
        <v>62400000</v>
      </c>
    </row>
    <row r="147" spans="2:16" x14ac:dyDescent="0.25">
      <c r="B147" s="44">
        <v>3</v>
      </c>
      <c r="C147" s="12">
        <f t="shared" si="28"/>
        <v>1800499.9999999953</v>
      </c>
      <c r="D147" s="12">
        <f t="shared" si="29"/>
        <v>649999.99999999534</v>
      </c>
      <c r="E147" s="277">
        <f t="shared" si="30"/>
        <v>1150500</v>
      </c>
      <c r="F147" s="12">
        <f t="shared" si="31"/>
        <v>76050000</v>
      </c>
      <c r="L147" s="44">
        <v>3</v>
      </c>
      <c r="M147" s="12">
        <f t="shared" si="32"/>
        <v>20006573.899199672</v>
      </c>
      <c r="N147" s="12">
        <f t="shared" si="33"/>
        <v>7799999.9999999972</v>
      </c>
      <c r="O147" s="12">
        <f t="shared" si="34"/>
        <v>12206573.899199676</v>
      </c>
      <c r="P147" s="12">
        <f t="shared" si="35"/>
        <v>54600000</v>
      </c>
    </row>
    <row r="148" spans="2:16" x14ac:dyDescent="0.25">
      <c r="B148" s="44">
        <v>4</v>
      </c>
      <c r="C148" s="12">
        <f t="shared" si="28"/>
        <v>1790749.9999999953</v>
      </c>
      <c r="D148" s="12">
        <f t="shared" si="29"/>
        <v>649999.99999999534</v>
      </c>
      <c r="E148" s="277">
        <f t="shared" si="30"/>
        <v>1140750</v>
      </c>
      <c r="F148" s="12">
        <f t="shared" si="31"/>
        <v>75400000</v>
      </c>
      <c r="L148" s="44">
        <v>4</v>
      </c>
      <c r="M148" s="12">
        <f t="shared" si="32"/>
        <v>18480752.161799714</v>
      </c>
      <c r="N148" s="12">
        <f t="shared" si="33"/>
        <v>7799999.9999999972</v>
      </c>
      <c r="O148" s="12">
        <f t="shared" si="34"/>
        <v>10680752.161799716</v>
      </c>
      <c r="P148" s="12">
        <f t="shared" si="35"/>
        <v>46800000</v>
      </c>
    </row>
    <row r="149" spans="2:16" x14ac:dyDescent="0.25">
      <c r="B149" s="44">
        <v>5</v>
      </c>
      <c r="C149" s="12">
        <f t="shared" si="28"/>
        <v>1780999.9999999953</v>
      </c>
      <c r="D149" s="12">
        <f t="shared" si="29"/>
        <v>649999.99999999534</v>
      </c>
      <c r="E149" s="277">
        <f t="shared" si="30"/>
        <v>1131000</v>
      </c>
      <c r="F149" s="12">
        <f t="shared" si="31"/>
        <v>74750000</v>
      </c>
      <c r="L149" s="44">
        <v>5</v>
      </c>
      <c r="M149" s="12">
        <f t="shared" si="32"/>
        <v>16954930.424399752</v>
      </c>
      <c r="N149" s="12">
        <f t="shared" si="33"/>
        <v>7799999.9999999972</v>
      </c>
      <c r="O149" s="12">
        <f t="shared" si="34"/>
        <v>9154930.4243997559</v>
      </c>
      <c r="P149" s="12">
        <f t="shared" si="35"/>
        <v>39000000</v>
      </c>
    </row>
    <row r="150" spans="2:16" x14ac:dyDescent="0.25">
      <c r="B150" s="44">
        <v>6</v>
      </c>
      <c r="C150" s="12">
        <f t="shared" si="28"/>
        <v>1771249.9999999953</v>
      </c>
      <c r="D150" s="12">
        <f t="shared" si="29"/>
        <v>649999.99999999534</v>
      </c>
      <c r="E150" s="277">
        <f t="shared" si="30"/>
        <v>1121250</v>
      </c>
      <c r="F150" s="12">
        <f t="shared" si="31"/>
        <v>74100000</v>
      </c>
      <c r="L150" s="44">
        <v>6</v>
      </c>
      <c r="M150" s="12">
        <f t="shared" si="32"/>
        <v>15429108.686999794</v>
      </c>
      <c r="N150" s="12">
        <f t="shared" si="33"/>
        <v>7799999.9999999972</v>
      </c>
      <c r="O150" s="12">
        <f t="shared" si="34"/>
        <v>7629108.6869997969</v>
      </c>
      <c r="P150" s="12">
        <f t="shared" si="35"/>
        <v>31200000.000000004</v>
      </c>
    </row>
    <row r="151" spans="2:16" x14ac:dyDescent="0.25">
      <c r="B151" s="44">
        <v>7</v>
      </c>
      <c r="C151" s="12">
        <f t="shared" si="28"/>
        <v>1761499.9999999953</v>
      </c>
      <c r="D151" s="12">
        <f t="shared" si="29"/>
        <v>649999.99999999534</v>
      </c>
      <c r="E151" s="277">
        <f t="shared" si="30"/>
        <v>1111500</v>
      </c>
      <c r="F151" s="12">
        <f t="shared" si="31"/>
        <v>73450000</v>
      </c>
      <c r="L151" s="44">
        <v>7</v>
      </c>
      <c r="M151" s="12">
        <f t="shared" si="32"/>
        <v>13903286.949599836</v>
      </c>
      <c r="N151" s="12">
        <f t="shared" si="33"/>
        <v>7799999.9999999972</v>
      </c>
      <c r="O151" s="12">
        <f t="shared" si="34"/>
        <v>6103286.9495998388</v>
      </c>
      <c r="P151" s="12">
        <f t="shared" si="35"/>
        <v>23400000.000000007</v>
      </c>
    </row>
    <row r="152" spans="2:16" x14ac:dyDescent="0.25">
      <c r="B152" s="44">
        <v>8</v>
      </c>
      <c r="C152" s="12">
        <f t="shared" si="28"/>
        <v>1751749.9999999953</v>
      </c>
      <c r="D152" s="12">
        <f t="shared" si="29"/>
        <v>649999.99999999534</v>
      </c>
      <c r="E152" s="277">
        <f t="shared" si="30"/>
        <v>1101750</v>
      </c>
      <c r="F152" s="12">
        <f t="shared" si="31"/>
        <v>72800000</v>
      </c>
      <c r="L152" s="44">
        <v>8</v>
      </c>
      <c r="M152" s="12">
        <f t="shared" si="32"/>
        <v>12377465.212199878</v>
      </c>
      <c r="N152" s="12">
        <f t="shared" si="33"/>
        <v>7799999.9999999972</v>
      </c>
      <c r="O152" s="12">
        <f t="shared" si="34"/>
        <v>4577465.2121998798</v>
      </c>
      <c r="P152" s="12">
        <f t="shared" si="35"/>
        <v>15600000.000000011</v>
      </c>
    </row>
    <row r="153" spans="2:16" x14ac:dyDescent="0.25">
      <c r="B153" s="44">
        <v>9</v>
      </c>
      <c r="C153" s="12">
        <f t="shared" si="28"/>
        <v>1741999.9999999953</v>
      </c>
      <c r="D153" s="12">
        <f t="shared" si="29"/>
        <v>649999.99999999534</v>
      </c>
      <c r="E153" s="277">
        <f t="shared" si="30"/>
        <v>1092000</v>
      </c>
      <c r="F153" s="12">
        <f t="shared" si="31"/>
        <v>72150000</v>
      </c>
      <c r="L153" s="44">
        <v>9</v>
      </c>
      <c r="M153" s="12">
        <f t="shared" si="32"/>
        <v>10851643.474799918</v>
      </c>
      <c r="N153" s="12">
        <f t="shared" si="33"/>
        <v>7799999.9999999972</v>
      </c>
      <c r="O153" s="12">
        <f t="shared" si="34"/>
        <v>3051643.4747999213</v>
      </c>
      <c r="P153" s="12">
        <f t="shared" si="35"/>
        <v>7800000.000000014</v>
      </c>
    </row>
    <row r="154" spans="2:16" x14ac:dyDescent="0.25">
      <c r="B154" s="44">
        <v>10</v>
      </c>
      <c r="C154" s="12">
        <f t="shared" si="28"/>
        <v>1732249.9999999953</v>
      </c>
      <c r="D154" s="12">
        <f t="shared" si="29"/>
        <v>649999.99999999534</v>
      </c>
      <c r="E154" s="277">
        <f t="shared" si="30"/>
        <v>1082250</v>
      </c>
      <c r="F154" s="12">
        <f t="shared" si="31"/>
        <v>71500000</v>
      </c>
      <c r="L154" s="44">
        <v>10</v>
      </c>
      <c r="M154" s="12">
        <f t="shared" si="32"/>
        <v>9325821.7373999599</v>
      </c>
      <c r="N154" s="12">
        <f t="shared" si="33"/>
        <v>7799999.9999999972</v>
      </c>
      <c r="O154" s="12">
        <f t="shared" si="34"/>
        <v>1525821.7373999623</v>
      </c>
      <c r="P154" s="12">
        <f t="shared" si="35"/>
        <v>1.6763806343078613E-8</v>
      </c>
    </row>
    <row r="155" spans="2:16" x14ac:dyDescent="0.25">
      <c r="B155" s="44">
        <v>11</v>
      </c>
      <c r="C155" s="12">
        <f t="shared" si="28"/>
        <v>1722499.9999999953</v>
      </c>
      <c r="D155" s="12">
        <f t="shared" si="29"/>
        <v>649999.99999999534</v>
      </c>
      <c r="E155" s="277">
        <f t="shared" si="30"/>
        <v>1072500</v>
      </c>
      <c r="F155" s="12">
        <f t="shared" si="31"/>
        <v>70850000</v>
      </c>
    </row>
    <row r="156" spans="2:16" x14ac:dyDescent="0.25">
      <c r="B156" s="44">
        <v>12</v>
      </c>
      <c r="C156" s="12">
        <f t="shared" si="28"/>
        <v>1712749.9999999953</v>
      </c>
      <c r="D156" s="12">
        <f t="shared" si="29"/>
        <v>649999.99999999534</v>
      </c>
      <c r="E156" s="277">
        <f t="shared" si="30"/>
        <v>1062750</v>
      </c>
      <c r="F156" s="12">
        <f t="shared" si="31"/>
        <v>70200000</v>
      </c>
    </row>
    <row r="157" spans="2:16" x14ac:dyDescent="0.25">
      <c r="B157" s="44">
        <v>13</v>
      </c>
      <c r="C157" s="12">
        <f t="shared" si="28"/>
        <v>1702999.9999999953</v>
      </c>
      <c r="D157" s="12">
        <f t="shared" si="29"/>
        <v>649999.99999999534</v>
      </c>
      <c r="E157" s="277">
        <f t="shared" si="30"/>
        <v>1053000</v>
      </c>
      <c r="F157" s="12">
        <f t="shared" si="31"/>
        <v>69550000</v>
      </c>
    </row>
    <row r="158" spans="2:16" x14ac:dyDescent="0.25">
      <c r="B158" s="44">
        <v>14</v>
      </c>
      <c r="C158" s="12">
        <f t="shared" si="28"/>
        <v>1693249.9999999953</v>
      </c>
      <c r="D158" s="12">
        <f t="shared" si="29"/>
        <v>649999.99999999534</v>
      </c>
      <c r="E158" s="277">
        <f t="shared" si="30"/>
        <v>1043250</v>
      </c>
      <c r="F158" s="12">
        <f t="shared" si="31"/>
        <v>68900000</v>
      </c>
    </row>
    <row r="159" spans="2:16" x14ac:dyDescent="0.25">
      <c r="B159" s="44">
        <v>15</v>
      </c>
      <c r="C159" s="12">
        <f t="shared" si="28"/>
        <v>1683499.9999999953</v>
      </c>
      <c r="D159" s="12">
        <f t="shared" si="29"/>
        <v>649999.99999999534</v>
      </c>
      <c r="E159" s="277">
        <f t="shared" si="30"/>
        <v>1033500</v>
      </c>
      <c r="F159" s="12">
        <f t="shared" si="31"/>
        <v>68250000</v>
      </c>
    </row>
    <row r="160" spans="2:16" x14ac:dyDescent="0.25">
      <c r="B160" s="44">
        <v>16</v>
      </c>
      <c r="C160" s="12">
        <f t="shared" si="28"/>
        <v>1673749.9999999953</v>
      </c>
      <c r="D160" s="12">
        <f t="shared" si="29"/>
        <v>649999.99999999534</v>
      </c>
      <c r="E160" s="277">
        <f t="shared" si="30"/>
        <v>1023750</v>
      </c>
      <c r="F160" s="12">
        <f t="shared" si="31"/>
        <v>67600000</v>
      </c>
    </row>
    <row r="161" spans="2:6" x14ac:dyDescent="0.25">
      <c r="B161" s="44">
        <v>17</v>
      </c>
      <c r="C161" s="12">
        <f t="shared" si="28"/>
        <v>1663999.9999999953</v>
      </c>
      <c r="D161" s="12">
        <f t="shared" si="29"/>
        <v>649999.99999999534</v>
      </c>
      <c r="E161" s="277">
        <f t="shared" si="30"/>
        <v>1014000</v>
      </c>
      <c r="F161" s="12">
        <f t="shared" si="31"/>
        <v>66950000.000000007</v>
      </c>
    </row>
    <row r="162" spans="2:6" x14ac:dyDescent="0.25">
      <c r="B162" s="44">
        <v>18</v>
      </c>
      <c r="C162" s="12">
        <f t="shared" si="28"/>
        <v>1654249.9999999953</v>
      </c>
      <c r="D162" s="12">
        <f t="shared" si="29"/>
        <v>649999.99999999534</v>
      </c>
      <c r="E162" s="277">
        <f t="shared" si="30"/>
        <v>1004250.0000000001</v>
      </c>
      <c r="F162" s="12">
        <f t="shared" si="31"/>
        <v>66300000.000000015</v>
      </c>
    </row>
    <row r="163" spans="2:6" x14ac:dyDescent="0.25">
      <c r="B163" s="44">
        <v>19</v>
      </c>
      <c r="C163" s="12">
        <f t="shared" si="28"/>
        <v>1644499.9999999956</v>
      </c>
      <c r="D163" s="12">
        <f t="shared" si="29"/>
        <v>649999.99999999534</v>
      </c>
      <c r="E163" s="277">
        <f t="shared" si="30"/>
        <v>994500.00000000023</v>
      </c>
      <c r="F163" s="12">
        <f t="shared" si="31"/>
        <v>65650000.000000022</v>
      </c>
    </row>
    <row r="164" spans="2:6" x14ac:dyDescent="0.25">
      <c r="B164" s="44">
        <v>20</v>
      </c>
      <c r="C164" s="12">
        <f t="shared" si="28"/>
        <v>1634749.9999999958</v>
      </c>
      <c r="D164" s="12">
        <f t="shared" si="29"/>
        <v>649999.99999999534</v>
      </c>
      <c r="E164" s="277">
        <f t="shared" si="30"/>
        <v>984750.00000000035</v>
      </c>
      <c r="F164" s="12">
        <f t="shared" si="31"/>
        <v>65000000.00000003</v>
      </c>
    </row>
    <row r="165" spans="2:6" x14ac:dyDescent="0.25">
      <c r="B165" s="44">
        <v>21</v>
      </c>
      <c r="C165" s="12">
        <f t="shared" si="28"/>
        <v>1624999.9999999958</v>
      </c>
      <c r="D165" s="12">
        <f t="shared" si="29"/>
        <v>649999.99999999534</v>
      </c>
      <c r="E165" s="277">
        <f t="shared" si="30"/>
        <v>975000.00000000047</v>
      </c>
      <c r="F165" s="12">
        <f t="shared" si="31"/>
        <v>64350000.000000037</v>
      </c>
    </row>
    <row r="166" spans="2:6" x14ac:dyDescent="0.25">
      <c r="B166" s="44">
        <v>22</v>
      </c>
      <c r="C166" s="12">
        <f t="shared" si="28"/>
        <v>1615249.9999999958</v>
      </c>
      <c r="D166" s="12">
        <f t="shared" si="29"/>
        <v>649999.99999999534</v>
      </c>
      <c r="E166" s="277">
        <f t="shared" si="30"/>
        <v>965250.00000000047</v>
      </c>
      <c r="F166" s="12">
        <f t="shared" si="31"/>
        <v>63700000.000000045</v>
      </c>
    </row>
    <row r="167" spans="2:6" x14ac:dyDescent="0.25">
      <c r="B167" s="44">
        <v>23</v>
      </c>
      <c r="C167" s="12">
        <f t="shared" si="28"/>
        <v>1605499.9999999958</v>
      </c>
      <c r="D167" s="12">
        <f t="shared" si="29"/>
        <v>649999.99999999534</v>
      </c>
      <c r="E167" s="277">
        <f t="shared" si="30"/>
        <v>955500.00000000058</v>
      </c>
      <c r="F167" s="12">
        <f t="shared" si="31"/>
        <v>63050000.000000052</v>
      </c>
    </row>
    <row r="168" spans="2:6" x14ac:dyDescent="0.25">
      <c r="B168" s="44">
        <v>24</v>
      </c>
      <c r="C168" s="12">
        <f t="shared" si="28"/>
        <v>1595749.999999996</v>
      </c>
      <c r="D168" s="12">
        <f t="shared" si="29"/>
        <v>649999.99999999534</v>
      </c>
      <c r="E168" s="277">
        <f t="shared" si="30"/>
        <v>945750.0000000007</v>
      </c>
      <c r="F168" s="12">
        <f t="shared" si="31"/>
        <v>62400000.00000006</v>
      </c>
    </row>
    <row r="169" spans="2:6" x14ac:dyDescent="0.25">
      <c r="B169" s="44">
        <v>25</v>
      </c>
      <c r="C169" s="12">
        <f t="shared" si="28"/>
        <v>1585999.9999999963</v>
      </c>
      <c r="D169" s="12">
        <f t="shared" si="29"/>
        <v>649999.99999999534</v>
      </c>
      <c r="E169" s="277">
        <f t="shared" si="30"/>
        <v>936000.00000000081</v>
      </c>
      <c r="F169" s="12">
        <f t="shared" si="31"/>
        <v>61750000.000000067</v>
      </c>
    </row>
    <row r="170" spans="2:6" x14ac:dyDescent="0.25">
      <c r="B170" s="44">
        <v>26</v>
      </c>
      <c r="C170" s="12">
        <f t="shared" si="28"/>
        <v>1576249.9999999963</v>
      </c>
      <c r="D170" s="12">
        <f t="shared" si="29"/>
        <v>649999.99999999534</v>
      </c>
      <c r="E170" s="277">
        <f t="shared" si="30"/>
        <v>926250.00000000093</v>
      </c>
      <c r="F170" s="12">
        <f t="shared" si="31"/>
        <v>61100000.000000075</v>
      </c>
    </row>
    <row r="171" spans="2:6" x14ac:dyDescent="0.25">
      <c r="B171" s="44">
        <v>27</v>
      </c>
      <c r="C171" s="12">
        <f t="shared" si="28"/>
        <v>1566499.9999999963</v>
      </c>
      <c r="D171" s="12">
        <f t="shared" si="29"/>
        <v>649999.99999999534</v>
      </c>
      <c r="E171" s="277">
        <f t="shared" si="30"/>
        <v>916500.00000000105</v>
      </c>
      <c r="F171" s="12">
        <f t="shared" si="31"/>
        <v>60450000.000000082</v>
      </c>
    </row>
    <row r="172" spans="2:6" x14ac:dyDescent="0.25">
      <c r="B172" s="44">
        <v>28</v>
      </c>
      <c r="C172" s="12">
        <f t="shared" si="28"/>
        <v>1556749.9999999965</v>
      </c>
      <c r="D172" s="12">
        <f t="shared" si="29"/>
        <v>649999.99999999534</v>
      </c>
      <c r="E172" s="277">
        <f t="shared" si="30"/>
        <v>906750.00000000116</v>
      </c>
      <c r="F172" s="12">
        <f t="shared" si="31"/>
        <v>59800000.000000089</v>
      </c>
    </row>
    <row r="173" spans="2:6" x14ac:dyDescent="0.25">
      <c r="B173" s="44">
        <v>29</v>
      </c>
      <c r="C173" s="12">
        <f t="shared" si="28"/>
        <v>1546999.9999999967</v>
      </c>
      <c r="D173" s="12">
        <f t="shared" si="29"/>
        <v>649999.99999999534</v>
      </c>
      <c r="E173" s="277">
        <f t="shared" si="30"/>
        <v>897000.00000000128</v>
      </c>
      <c r="F173" s="12">
        <f t="shared" si="31"/>
        <v>59150000.000000097</v>
      </c>
    </row>
    <row r="174" spans="2:6" x14ac:dyDescent="0.25">
      <c r="B174" s="44">
        <v>30</v>
      </c>
      <c r="C174" s="12">
        <f t="shared" si="28"/>
        <v>1537249.9999999967</v>
      </c>
      <c r="D174" s="12">
        <f t="shared" si="29"/>
        <v>649999.99999999534</v>
      </c>
      <c r="E174" s="277">
        <f t="shared" si="30"/>
        <v>887250.0000000014</v>
      </c>
      <c r="F174" s="12">
        <f t="shared" si="31"/>
        <v>58500000.000000104</v>
      </c>
    </row>
    <row r="175" spans="2:6" x14ac:dyDescent="0.25">
      <c r="B175" s="44">
        <v>31</v>
      </c>
      <c r="C175" s="12">
        <f t="shared" si="28"/>
        <v>1527499.9999999967</v>
      </c>
      <c r="D175" s="12">
        <f t="shared" si="29"/>
        <v>649999.99999999534</v>
      </c>
      <c r="E175" s="277">
        <f t="shared" si="30"/>
        <v>877500.00000000151</v>
      </c>
      <c r="F175" s="12">
        <f t="shared" si="31"/>
        <v>57850000.000000112</v>
      </c>
    </row>
    <row r="176" spans="2:6" x14ac:dyDescent="0.25">
      <c r="B176" s="44">
        <v>32</v>
      </c>
      <c r="C176" s="12">
        <f t="shared" si="28"/>
        <v>1517749.999999997</v>
      </c>
      <c r="D176" s="12">
        <f t="shared" si="29"/>
        <v>649999.99999999534</v>
      </c>
      <c r="E176" s="277">
        <f t="shared" si="30"/>
        <v>867750.00000000163</v>
      </c>
      <c r="F176" s="12">
        <f t="shared" si="31"/>
        <v>57200000.000000119</v>
      </c>
    </row>
    <row r="177" spans="2:6" x14ac:dyDescent="0.25">
      <c r="B177" s="44">
        <v>33</v>
      </c>
      <c r="C177" s="12">
        <f t="shared" si="28"/>
        <v>1507999.9999999972</v>
      </c>
      <c r="D177" s="12">
        <f t="shared" si="29"/>
        <v>649999.99999999534</v>
      </c>
      <c r="E177" s="277">
        <f t="shared" si="30"/>
        <v>858000.00000000175</v>
      </c>
      <c r="F177" s="12">
        <f t="shared" si="31"/>
        <v>56550000.000000127</v>
      </c>
    </row>
    <row r="178" spans="2:6" x14ac:dyDescent="0.25">
      <c r="B178" s="44">
        <v>34</v>
      </c>
      <c r="C178" s="12">
        <f t="shared" si="28"/>
        <v>1498249.9999999972</v>
      </c>
      <c r="D178" s="12">
        <f t="shared" si="29"/>
        <v>649999.99999999534</v>
      </c>
      <c r="E178" s="277">
        <f t="shared" si="30"/>
        <v>848250.00000000186</v>
      </c>
      <c r="F178" s="12">
        <f t="shared" si="31"/>
        <v>55900000.000000134</v>
      </c>
    </row>
    <row r="179" spans="2:6" x14ac:dyDescent="0.25">
      <c r="B179" s="44">
        <v>35</v>
      </c>
      <c r="C179" s="12">
        <f t="shared" si="28"/>
        <v>1488499.9999999972</v>
      </c>
      <c r="D179" s="12">
        <f t="shared" si="29"/>
        <v>649999.99999999534</v>
      </c>
      <c r="E179" s="277">
        <f t="shared" si="30"/>
        <v>838500.00000000198</v>
      </c>
      <c r="F179" s="12">
        <f t="shared" si="31"/>
        <v>55250000.000000142</v>
      </c>
    </row>
    <row r="180" spans="2:6" x14ac:dyDescent="0.25">
      <c r="B180" s="44">
        <v>36</v>
      </c>
      <c r="C180" s="12">
        <f t="shared" si="28"/>
        <v>1478749.9999999974</v>
      </c>
      <c r="D180" s="12">
        <f t="shared" si="29"/>
        <v>649999.99999999534</v>
      </c>
      <c r="E180" s="277">
        <f t="shared" si="30"/>
        <v>828750.0000000021</v>
      </c>
      <c r="F180" s="12">
        <f t="shared" si="31"/>
        <v>54600000.000000149</v>
      </c>
    </row>
    <row r="181" spans="2:6" x14ac:dyDescent="0.25">
      <c r="B181" s="44">
        <v>37</v>
      </c>
      <c r="C181" s="12">
        <f t="shared" si="28"/>
        <v>1468999.9999999977</v>
      </c>
      <c r="D181" s="12">
        <f t="shared" si="29"/>
        <v>649999.99999999534</v>
      </c>
      <c r="E181" s="277">
        <f t="shared" si="30"/>
        <v>819000.00000000221</v>
      </c>
      <c r="F181" s="12">
        <f t="shared" si="31"/>
        <v>53950000.000000156</v>
      </c>
    </row>
    <row r="182" spans="2:6" x14ac:dyDescent="0.25">
      <c r="B182" s="44">
        <v>38</v>
      </c>
      <c r="C182" s="12">
        <f t="shared" si="28"/>
        <v>1459249.9999999977</v>
      </c>
      <c r="D182" s="12">
        <f t="shared" si="29"/>
        <v>649999.99999999534</v>
      </c>
      <c r="E182" s="277">
        <f t="shared" si="30"/>
        <v>809250.00000000233</v>
      </c>
      <c r="F182" s="12">
        <f t="shared" si="31"/>
        <v>53300000.000000164</v>
      </c>
    </row>
    <row r="183" spans="2:6" x14ac:dyDescent="0.25">
      <c r="B183" s="44">
        <v>39</v>
      </c>
      <c r="C183" s="12">
        <f t="shared" si="28"/>
        <v>1449499.9999999977</v>
      </c>
      <c r="D183" s="12">
        <f t="shared" si="29"/>
        <v>649999.99999999534</v>
      </c>
      <c r="E183" s="277">
        <f t="shared" si="30"/>
        <v>799500.00000000244</v>
      </c>
      <c r="F183" s="12">
        <f t="shared" si="31"/>
        <v>52650000.000000171</v>
      </c>
    </row>
    <row r="184" spans="2:6" x14ac:dyDescent="0.25">
      <c r="B184" s="44">
        <v>40</v>
      </c>
      <c r="C184" s="12">
        <f t="shared" si="28"/>
        <v>1439749.9999999979</v>
      </c>
      <c r="D184" s="12">
        <f t="shared" si="29"/>
        <v>649999.99999999534</v>
      </c>
      <c r="E184" s="277">
        <f t="shared" si="30"/>
        <v>789750.00000000256</v>
      </c>
      <c r="F184" s="12">
        <f t="shared" si="31"/>
        <v>52000000.000000179</v>
      </c>
    </row>
    <row r="185" spans="2:6" x14ac:dyDescent="0.25">
      <c r="B185" s="44">
        <v>41</v>
      </c>
      <c r="C185" s="12">
        <f t="shared" si="28"/>
        <v>1429999.9999999981</v>
      </c>
      <c r="D185" s="12">
        <f t="shared" si="29"/>
        <v>649999.99999999534</v>
      </c>
      <c r="E185" s="277">
        <f t="shared" si="30"/>
        <v>780000.00000000268</v>
      </c>
      <c r="F185" s="12">
        <f t="shared" si="31"/>
        <v>51350000.000000186</v>
      </c>
    </row>
    <row r="186" spans="2:6" x14ac:dyDescent="0.25">
      <c r="B186" s="44">
        <v>42</v>
      </c>
      <c r="C186" s="12">
        <f t="shared" si="28"/>
        <v>1420249.9999999981</v>
      </c>
      <c r="D186" s="12">
        <f t="shared" si="29"/>
        <v>649999.99999999534</v>
      </c>
      <c r="E186" s="277">
        <f t="shared" si="30"/>
        <v>770250.00000000279</v>
      </c>
      <c r="F186" s="12">
        <f t="shared" si="31"/>
        <v>50700000.000000194</v>
      </c>
    </row>
    <row r="187" spans="2:6" x14ac:dyDescent="0.25">
      <c r="B187" s="44">
        <v>43</v>
      </c>
      <c r="C187" s="12">
        <f t="shared" si="28"/>
        <v>1410499.9999999981</v>
      </c>
      <c r="D187" s="12">
        <f t="shared" si="29"/>
        <v>649999.99999999534</v>
      </c>
      <c r="E187" s="277">
        <f t="shared" si="30"/>
        <v>760500.00000000291</v>
      </c>
      <c r="F187" s="12">
        <f t="shared" si="31"/>
        <v>50050000.000000201</v>
      </c>
    </row>
    <row r="188" spans="2:6" x14ac:dyDescent="0.25">
      <c r="B188" s="44">
        <v>44</v>
      </c>
      <c r="C188" s="12">
        <f t="shared" si="28"/>
        <v>1400749.9999999984</v>
      </c>
      <c r="D188" s="12">
        <f t="shared" si="29"/>
        <v>649999.99999999534</v>
      </c>
      <c r="E188" s="277">
        <f t="shared" si="30"/>
        <v>750750.00000000303</v>
      </c>
      <c r="F188" s="12">
        <f t="shared" si="31"/>
        <v>49400000.000000209</v>
      </c>
    </row>
    <row r="189" spans="2:6" x14ac:dyDescent="0.25">
      <c r="B189" s="44">
        <v>45</v>
      </c>
      <c r="C189" s="12">
        <f t="shared" si="28"/>
        <v>1390999.9999999986</v>
      </c>
      <c r="D189" s="12">
        <f t="shared" si="29"/>
        <v>649999.99999999534</v>
      </c>
      <c r="E189" s="277">
        <f t="shared" si="30"/>
        <v>741000.00000000314</v>
      </c>
      <c r="F189" s="12">
        <f t="shared" si="31"/>
        <v>48750000.000000216</v>
      </c>
    </row>
    <row r="190" spans="2:6" x14ac:dyDescent="0.25">
      <c r="B190" s="44">
        <v>46</v>
      </c>
      <c r="C190" s="12">
        <f t="shared" si="28"/>
        <v>1381249.9999999986</v>
      </c>
      <c r="D190" s="12">
        <f t="shared" si="29"/>
        <v>649999.99999999534</v>
      </c>
      <c r="E190" s="277">
        <f t="shared" si="30"/>
        <v>731250.00000000326</v>
      </c>
      <c r="F190" s="12">
        <f t="shared" si="31"/>
        <v>48100000.000000224</v>
      </c>
    </row>
    <row r="191" spans="2:6" x14ac:dyDescent="0.25">
      <c r="B191" s="44">
        <v>47</v>
      </c>
      <c r="C191" s="12">
        <f t="shared" si="28"/>
        <v>1371499.9999999986</v>
      </c>
      <c r="D191" s="12">
        <f t="shared" si="29"/>
        <v>649999.99999999534</v>
      </c>
      <c r="E191" s="277">
        <f t="shared" si="30"/>
        <v>721500.00000000338</v>
      </c>
      <c r="F191" s="12">
        <f t="shared" si="31"/>
        <v>47450000.000000231</v>
      </c>
    </row>
    <row r="192" spans="2:6" x14ac:dyDescent="0.25">
      <c r="B192" s="44">
        <v>48</v>
      </c>
      <c r="C192" s="12">
        <f t="shared" si="28"/>
        <v>1361749.9999999988</v>
      </c>
      <c r="D192" s="12">
        <f t="shared" si="29"/>
        <v>649999.99999999534</v>
      </c>
      <c r="E192" s="277">
        <f t="shared" si="30"/>
        <v>711750.00000000349</v>
      </c>
      <c r="F192" s="12">
        <f t="shared" si="31"/>
        <v>46800000.000000238</v>
      </c>
    </row>
    <row r="193" spans="2:6" x14ac:dyDescent="0.25">
      <c r="B193" s="44">
        <v>49</v>
      </c>
      <c r="C193" s="12">
        <f t="shared" si="28"/>
        <v>1351999.9999999988</v>
      </c>
      <c r="D193" s="12">
        <f t="shared" si="29"/>
        <v>649999.99999999534</v>
      </c>
      <c r="E193" s="277">
        <f t="shared" si="30"/>
        <v>702000.00000000349</v>
      </c>
      <c r="F193" s="12">
        <f t="shared" si="31"/>
        <v>46150000.000000246</v>
      </c>
    </row>
    <row r="194" spans="2:6" x14ac:dyDescent="0.25">
      <c r="B194" s="44">
        <v>50</v>
      </c>
      <c r="C194" s="12">
        <f t="shared" si="28"/>
        <v>1342249.9999999991</v>
      </c>
      <c r="D194" s="12">
        <f t="shared" si="29"/>
        <v>649999.99999999534</v>
      </c>
      <c r="E194" s="277">
        <f t="shared" si="30"/>
        <v>692250.00000000361</v>
      </c>
      <c r="F194" s="12">
        <f t="shared" si="31"/>
        <v>45500000.000000253</v>
      </c>
    </row>
    <row r="195" spans="2:6" x14ac:dyDescent="0.25">
      <c r="B195" s="44">
        <v>51</v>
      </c>
      <c r="C195" s="12">
        <f t="shared" si="28"/>
        <v>1332499.9999999991</v>
      </c>
      <c r="D195" s="12">
        <f t="shared" si="29"/>
        <v>649999.99999999534</v>
      </c>
      <c r="E195" s="277">
        <f t="shared" si="30"/>
        <v>682500.00000000373</v>
      </c>
      <c r="F195" s="12">
        <f t="shared" si="31"/>
        <v>44850000.000000261</v>
      </c>
    </row>
    <row r="196" spans="2:6" x14ac:dyDescent="0.25">
      <c r="B196" s="44">
        <v>52</v>
      </c>
      <c r="C196" s="12">
        <f t="shared" si="28"/>
        <v>1322749.9999999991</v>
      </c>
      <c r="D196" s="12">
        <f t="shared" si="29"/>
        <v>649999.99999999534</v>
      </c>
      <c r="E196" s="277">
        <f t="shared" si="30"/>
        <v>672750.00000000384</v>
      </c>
      <c r="F196" s="12">
        <f t="shared" si="31"/>
        <v>44200000.000000268</v>
      </c>
    </row>
    <row r="197" spans="2:6" x14ac:dyDescent="0.25">
      <c r="B197" s="44">
        <v>53</v>
      </c>
      <c r="C197" s="12">
        <f t="shared" si="28"/>
        <v>1312999.9999999993</v>
      </c>
      <c r="D197" s="12">
        <f t="shared" si="29"/>
        <v>649999.99999999534</v>
      </c>
      <c r="E197" s="277">
        <f t="shared" si="30"/>
        <v>663000.00000000396</v>
      </c>
      <c r="F197" s="12">
        <f t="shared" si="31"/>
        <v>43550000.000000276</v>
      </c>
    </row>
    <row r="198" spans="2:6" x14ac:dyDescent="0.25">
      <c r="B198" s="44">
        <v>54</v>
      </c>
      <c r="C198" s="12">
        <f t="shared" si="28"/>
        <v>1303249.9999999995</v>
      </c>
      <c r="D198" s="12">
        <f t="shared" si="29"/>
        <v>649999.99999999534</v>
      </c>
      <c r="E198" s="277">
        <f t="shared" si="30"/>
        <v>653250.00000000407</v>
      </c>
      <c r="F198" s="12">
        <f t="shared" si="31"/>
        <v>42900000.000000283</v>
      </c>
    </row>
    <row r="199" spans="2:6" x14ac:dyDescent="0.25">
      <c r="B199" s="44">
        <v>55</v>
      </c>
      <c r="C199" s="12">
        <f t="shared" si="28"/>
        <v>1293499.9999999995</v>
      </c>
      <c r="D199" s="12">
        <f t="shared" si="29"/>
        <v>649999.99999999534</v>
      </c>
      <c r="E199" s="277">
        <f t="shared" si="30"/>
        <v>643500.00000000419</v>
      </c>
      <c r="F199" s="12">
        <f t="shared" si="31"/>
        <v>42250000.000000291</v>
      </c>
    </row>
    <row r="200" spans="2:6" x14ac:dyDescent="0.25">
      <c r="B200" s="44">
        <v>56</v>
      </c>
      <c r="C200" s="12">
        <f t="shared" si="28"/>
        <v>1283749.9999999995</v>
      </c>
      <c r="D200" s="12">
        <f t="shared" si="29"/>
        <v>649999.99999999534</v>
      </c>
      <c r="E200" s="277">
        <f t="shared" si="30"/>
        <v>633750.00000000431</v>
      </c>
      <c r="F200" s="12">
        <f t="shared" si="31"/>
        <v>41600000.000000298</v>
      </c>
    </row>
    <row r="201" spans="2:6" x14ac:dyDescent="0.25">
      <c r="B201" s="44">
        <v>57</v>
      </c>
      <c r="C201" s="12">
        <f t="shared" si="28"/>
        <v>1273999.9999999998</v>
      </c>
      <c r="D201" s="12">
        <f t="shared" si="29"/>
        <v>649999.99999999534</v>
      </c>
      <c r="E201" s="277">
        <f t="shared" si="30"/>
        <v>624000.00000000442</v>
      </c>
      <c r="F201" s="12">
        <f t="shared" si="31"/>
        <v>40950000.000000305</v>
      </c>
    </row>
    <row r="202" spans="2:6" x14ac:dyDescent="0.25">
      <c r="B202" s="44">
        <v>58</v>
      </c>
      <c r="C202" s="12">
        <f t="shared" si="28"/>
        <v>1264250</v>
      </c>
      <c r="D202" s="12">
        <f t="shared" si="29"/>
        <v>649999.99999999534</v>
      </c>
      <c r="E202" s="277">
        <f t="shared" si="30"/>
        <v>614250.00000000454</v>
      </c>
      <c r="F202" s="12">
        <f t="shared" si="31"/>
        <v>40300000.000000313</v>
      </c>
    </row>
    <row r="203" spans="2:6" x14ac:dyDescent="0.25">
      <c r="B203" s="44">
        <v>59</v>
      </c>
      <c r="C203" s="12">
        <f t="shared" si="28"/>
        <v>1254500</v>
      </c>
      <c r="D203" s="12">
        <f t="shared" si="29"/>
        <v>649999.99999999534</v>
      </c>
      <c r="E203" s="277">
        <f t="shared" si="30"/>
        <v>604500.00000000466</v>
      </c>
      <c r="F203" s="12">
        <f t="shared" si="31"/>
        <v>39650000.00000032</v>
      </c>
    </row>
    <row r="204" spans="2:6" x14ac:dyDescent="0.25">
      <c r="B204" s="44">
        <v>60</v>
      </c>
      <c r="C204" s="12">
        <f t="shared" si="28"/>
        <v>1244750</v>
      </c>
      <c r="D204" s="12">
        <f t="shared" si="29"/>
        <v>649999.99999999534</v>
      </c>
      <c r="E204" s="277">
        <f t="shared" si="30"/>
        <v>594750.00000000477</v>
      </c>
      <c r="F204" s="12">
        <f t="shared" si="31"/>
        <v>39000000.000000328</v>
      </c>
    </row>
    <row r="205" spans="2:6" x14ac:dyDescent="0.25">
      <c r="B205" s="44">
        <v>61</v>
      </c>
      <c r="C205" s="12">
        <f t="shared" si="28"/>
        <v>1235000.0000000002</v>
      </c>
      <c r="D205" s="12">
        <f t="shared" si="29"/>
        <v>649999.99999999534</v>
      </c>
      <c r="E205" s="277">
        <f t="shared" si="30"/>
        <v>585000.00000000489</v>
      </c>
      <c r="F205" s="12">
        <f t="shared" si="31"/>
        <v>38350000.000000335</v>
      </c>
    </row>
    <row r="206" spans="2:6" x14ac:dyDescent="0.25">
      <c r="B206" s="44">
        <v>62</v>
      </c>
      <c r="C206" s="12">
        <f t="shared" si="28"/>
        <v>1225250.0000000005</v>
      </c>
      <c r="D206" s="12">
        <f t="shared" si="29"/>
        <v>649999.99999999534</v>
      </c>
      <c r="E206" s="277">
        <f t="shared" si="30"/>
        <v>575250.00000000501</v>
      </c>
      <c r="F206" s="12">
        <f t="shared" si="31"/>
        <v>37700000.000000343</v>
      </c>
    </row>
    <row r="207" spans="2:6" x14ac:dyDescent="0.25">
      <c r="B207" s="44">
        <v>63</v>
      </c>
      <c r="C207" s="12">
        <f t="shared" si="28"/>
        <v>1215500.0000000005</v>
      </c>
      <c r="D207" s="12">
        <f t="shared" si="29"/>
        <v>649999.99999999534</v>
      </c>
      <c r="E207" s="277">
        <f t="shared" si="30"/>
        <v>565500.00000000512</v>
      </c>
      <c r="F207" s="12">
        <f t="shared" si="31"/>
        <v>37050000.00000035</v>
      </c>
    </row>
    <row r="208" spans="2:6" x14ac:dyDescent="0.25">
      <c r="B208" s="44">
        <v>64</v>
      </c>
      <c r="C208" s="12">
        <f t="shared" si="28"/>
        <v>1205750.0000000005</v>
      </c>
      <c r="D208" s="12">
        <f t="shared" si="29"/>
        <v>649999.99999999534</v>
      </c>
      <c r="E208" s="277">
        <f t="shared" si="30"/>
        <v>555750.00000000524</v>
      </c>
      <c r="F208" s="12">
        <f t="shared" si="31"/>
        <v>36400000.000000358</v>
      </c>
    </row>
    <row r="209" spans="2:6" x14ac:dyDescent="0.25">
      <c r="B209" s="44">
        <v>65</v>
      </c>
      <c r="C209" s="12">
        <f t="shared" si="28"/>
        <v>1196000.0000000007</v>
      </c>
      <c r="D209" s="12">
        <f t="shared" si="29"/>
        <v>649999.99999999534</v>
      </c>
      <c r="E209" s="277">
        <f t="shared" si="30"/>
        <v>546000.00000000536</v>
      </c>
      <c r="F209" s="12">
        <f t="shared" si="31"/>
        <v>35750000.000000365</v>
      </c>
    </row>
    <row r="210" spans="2:6" x14ac:dyDescent="0.25">
      <c r="B210" s="44">
        <v>66</v>
      </c>
      <c r="C210" s="12">
        <f t="shared" ref="C210:C264" si="36">D210+E210</f>
        <v>1186250.0000000009</v>
      </c>
      <c r="D210" s="12">
        <f t="shared" ref="D210:D264" si="37">$D$140</f>
        <v>649999.99999999534</v>
      </c>
      <c r="E210" s="277">
        <f t="shared" ref="E210:E264" si="38">F209*$D$138</f>
        <v>536250.00000000547</v>
      </c>
      <c r="F210" s="12">
        <f t="shared" ref="F210:F264" si="39">F209-D210</f>
        <v>35100000.000000373</v>
      </c>
    </row>
    <row r="211" spans="2:6" x14ac:dyDescent="0.25">
      <c r="B211" s="44">
        <v>67</v>
      </c>
      <c r="C211" s="12">
        <f t="shared" si="36"/>
        <v>1176500.0000000009</v>
      </c>
      <c r="D211" s="12">
        <f t="shared" si="37"/>
        <v>649999.99999999534</v>
      </c>
      <c r="E211" s="277">
        <f t="shared" si="38"/>
        <v>526500.00000000559</v>
      </c>
      <c r="F211" s="12">
        <f t="shared" si="39"/>
        <v>34450000.00000038</v>
      </c>
    </row>
    <row r="212" spans="2:6" x14ac:dyDescent="0.25">
      <c r="B212" s="44">
        <v>68</v>
      </c>
      <c r="C212" s="12">
        <f t="shared" si="36"/>
        <v>1166750.0000000009</v>
      </c>
      <c r="D212" s="12">
        <f t="shared" si="37"/>
        <v>649999.99999999534</v>
      </c>
      <c r="E212" s="277">
        <f t="shared" si="38"/>
        <v>516750.0000000057</v>
      </c>
      <c r="F212" s="12">
        <f t="shared" si="39"/>
        <v>33800000.000000387</v>
      </c>
    </row>
    <row r="213" spans="2:6" x14ac:dyDescent="0.25">
      <c r="B213" s="44">
        <v>69</v>
      </c>
      <c r="C213" s="12">
        <f t="shared" si="36"/>
        <v>1157000.0000000012</v>
      </c>
      <c r="D213" s="12">
        <f t="shared" si="37"/>
        <v>649999.99999999534</v>
      </c>
      <c r="E213" s="277">
        <f t="shared" si="38"/>
        <v>507000.00000000582</v>
      </c>
      <c r="F213" s="12">
        <f t="shared" si="39"/>
        <v>33150000.000000391</v>
      </c>
    </row>
    <row r="214" spans="2:6" x14ac:dyDescent="0.25">
      <c r="B214" s="44">
        <v>70</v>
      </c>
      <c r="C214" s="12">
        <f t="shared" si="36"/>
        <v>1147250.0000000012</v>
      </c>
      <c r="D214" s="12">
        <f t="shared" si="37"/>
        <v>649999.99999999534</v>
      </c>
      <c r="E214" s="277">
        <f t="shared" si="38"/>
        <v>497250.00000000582</v>
      </c>
      <c r="F214" s="12">
        <f t="shared" si="39"/>
        <v>32500000.000000395</v>
      </c>
    </row>
    <row r="215" spans="2:6" x14ac:dyDescent="0.25">
      <c r="B215" s="44">
        <v>71</v>
      </c>
      <c r="C215" s="12">
        <f t="shared" si="36"/>
        <v>1137500.0000000012</v>
      </c>
      <c r="D215" s="12">
        <f t="shared" si="37"/>
        <v>649999.99999999534</v>
      </c>
      <c r="E215" s="277">
        <f t="shared" si="38"/>
        <v>487500.00000000588</v>
      </c>
      <c r="F215" s="12">
        <f t="shared" si="39"/>
        <v>31850000.000000399</v>
      </c>
    </row>
    <row r="216" spans="2:6" x14ac:dyDescent="0.25">
      <c r="B216" s="44">
        <v>72</v>
      </c>
      <c r="C216" s="12">
        <f t="shared" si="36"/>
        <v>1127750.0000000014</v>
      </c>
      <c r="D216" s="12">
        <f t="shared" si="37"/>
        <v>649999.99999999534</v>
      </c>
      <c r="E216" s="277">
        <f t="shared" si="38"/>
        <v>477750.00000000594</v>
      </c>
      <c r="F216" s="12">
        <f t="shared" si="39"/>
        <v>31200000.000000402</v>
      </c>
    </row>
    <row r="217" spans="2:6" x14ac:dyDescent="0.25">
      <c r="B217" s="44">
        <v>73</v>
      </c>
      <c r="C217" s="12">
        <f t="shared" si="36"/>
        <v>1118000.0000000014</v>
      </c>
      <c r="D217" s="12">
        <f t="shared" si="37"/>
        <v>649999.99999999534</v>
      </c>
      <c r="E217" s="277">
        <f t="shared" si="38"/>
        <v>468000.000000006</v>
      </c>
      <c r="F217" s="12">
        <f t="shared" si="39"/>
        <v>30550000.000000406</v>
      </c>
    </row>
    <row r="218" spans="2:6" x14ac:dyDescent="0.25">
      <c r="B218" s="44">
        <v>74</v>
      </c>
      <c r="C218" s="12">
        <f t="shared" si="36"/>
        <v>1108250.0000000014</v>
      </c>
      <c r="D218" s="12">
        <f t="shared" si="37"/>
        <v>649999.99999999534</v>
      </c>
      <c r="E218" s="277">
        <f t="shared" si="38"/>
        <v>458250.00000000605</v>
      </c>
      <c r="F218" s="12">
        <f t="shared" si="39"/>
        <v>29900000.00000041</v>
      </c>
    </row>
    <row r="219" spans="2:6" x14ac:dyDescent="0.25">
      <c r="B219" s="44">
        <v>75</v>
      </c>
      <c r="C219" s="12">
        <f t="shared" si="36"/>
        <v>1098500.0000000014</v>
      </c>
      <c r="D219" s="12">
        <f t="shared" si="37"/>
        <v>649999.99999999534</v>
      </c>
      <c r="E219" s="277">
        <f t="shared" si="38"/>
        <v>448500.00000000611</v>
      </c>
      <c r="F219" s="12">
        <f t="shared" si="39"/>
        <v>29250000.000000414</v>
      </c>
    </row>
    <row r="220" spans="2:6" x14ac:dyDescent="0.25">
      <c r="B220" s="44">
        <v>76</v>
      </c>
      <c r="C220" s="12">
        <f t="shared" si="36"/>
        <v>1088750.0000000014</v>
      </c>
      <c r="D220" s="12">
        <f t="shared" si="37"/>
        <v>649999.99999999534</v>
      </c>
      <c r="E220" s="277">
        <f t="shared" si="38"/>
        <v>438750.00000000617</v>
      </c>
      <c r="F220" s="12">
        <f t="shared" si="39"/>
        <v>28600000.000000417</v>
      </c>
    </row>
    <row r="221" spans="2:6" x14ac:dyDescent="0.25">
      <c r="B221" s="44">
        <v>77</v>
      </c>
      <c r="C221" s="12">
        <f t="shared" si="36"/>
        <v>1079000.0000000016</v>
      </c>
      <c r="D221" s="12">
        <f t="shared" si="37"/>
        <v>649999.99999999534</v>
      </c>
      <c r="E221" s="277">
        <f t="shared" si="38"/>
        <v>429000.00000000623</v>
      </c>
      <c r="F221" s="12">
        <f t="shared" si="39"/>
        <v>27950000.000000421</v>
      </c>
    </row>
    <row r="222" spans="2:6" x14ac:dyDescent="0.25">
      <c r="B222" s="44">
        <v>78</v>
      </c>
      <c r="C222" s="12">
        <f t="shared" si="36"/>
        <v>1069250.0000000016</v>
      </c>
      <c r="D222" s="12">
        <f t="shared" si="37"/>
        <v>649999.99999999534</v>
      </c>
      <c r="E222" s="277">
        <f t="shared" si="38"/>
        <v>419250.00000000629</v>
      </c>
      <c r="F222" s="12">
        <f t="shared" si="39"/>
        <v>27300000.000000425</v>
      </c>
    </row>
    <row r="223" spans="2:6" x14ac:dyDescent="0.25">
      <c r="B223" s="44">
        <v>79</v>
      </c>
      <c r="C223" s="12">
        <f t="shared" si="36"/>
        <v>1059500.0000000016</v>
      </c>
      <c r="D223" s="12">
        <f t="shared" si="37"/>
        <v>649999.99999999534</v>
      </c>
      <c r="E223" s="277">
        <f t="shared" si="38"/>
        <v>409500.00000000634</v>
      </c>
      <c r="F223" s="12">
        <f t="shared" si="39"/>
        <v>26650000.000000428</v>
      </c>
    </row>
    <row r="224" spans="2:6" x14ac:dyDescent="0.25">
      <c r="B224" s="44">
        <v>80</v>
      </c>
      <c r="C224" s="12">
        <f t="shared" si="36"/>
        <v>1049750.0000000019</v>
      </c>
      <c r="D224" s="12">
        <f t="shared" si="37"/>
        <v>649999.99999999534</v>
      </c>
      <c r="E224" s="277">
        <f t="shared" si="38"/>
        <v>399750.0000000064</v>
      </c>
      <c r="F224" s="12">
        <f t="shared" si="39"/>
        <v>26000000.000000432</v>
      </c>
    </row>
    <row r="225" spans="2:6" x14ac:dyDescent="0.25">
      <c r="B225" s="44">
        <v>81</v>
      </c>
      <c r="C225" s="12">
        <f t="shared" si="36"/>
        <v>1040000.0000000019</v>
      </c>
      <c r="D225" s="12">
        <f t="shared" si="37"/>
        <v>649999.99999999534</v>
      </c>
      <c r="E225" s="277">
        <f t="shared" si="38"/>
        <v>390000.00000000646</v>
      </c>
      <c r="F225" s="12">
        <f t="shared" si="39"/>
        <v>25350000.000000436</v>
      </c>
    </row>
    <row r="226" spans="2:6" x14ac:dyDescent="0.25">
      <c r="B226" s="44">
        <v>82</v>
      </c>
      <c r="C226" s="12">
        <f t="shared" si="36"/>
        <v>1030250.0000000019</v>
      </c>
      <c r="D226" s="12">
        <f t="shared" si="37"/>
        <v>649999.99999999534</v>
      </c>
      <c r="E226" s="277">
        <f t="shared" si="38"/>
        <v>380250.00000000652</v>
      </c>
      <c r="F226" s="12">
        <f t="shared" si="39"/>
        <v>24700000.00000044</v>
      </c>
    </row>
    <row r="227" spans="2:6" x14ac:dyDescent="0.25">
      <c r="B227" s="44">
        <v>83</v>
      </c>
      <c r="C227" s="12">
        <f t="shared" si="36"/>
        <v>1020500.0000000019</v>
      </c>
      <c r="D227" s="12">
        <f t="shared" si="37"/>
        <v>649999.99999999534</v>
      </c>
      <c r="E227" s="277">
        <f t="shared" si="38"/>
        <v>370500.00000000658</v>
      </c>
      <c r="F227" s="12">
        <f t="shared" si="39"/>
        <v>24050000.000000443</v>
      </c>
    </row>
    <row r="228" spans="2:6" x14ac:dyDescent="0.25">
      <c r="B228" s="44">
        <v>84</v>
      </c>
      <c r="C228" s="12">
        <f t="shared" si="36"/>
        <v>1010750.000000002</v>
      </c>
      <c r="D228" s="12">
        <f t="shared" si="37"/>
        <v>649999.99999999534</v>
      </c>
      <c r="E228" s="277">
        <f t="shared" si="38"/>
        <v>360750.00000000664</v>
      </c>
      <c r="F228" s="12">
        <f t="shared" si="39"/>
        <v>23400000.000000447</v>
      </c>
    </row>
    <row r="229" spans="2:6" x14ac:dyDescent="0.25">
      <c r="B229" s="44">
        <v>85</v>
      </c>
      <c r="C229" s="12">
        <f t="shared" si="36"/>
        <v>1001000.0000000021</v>
      </c>
      <c r="D229" s="12">
        <f t="shared" si="37"/>
        <v>649999.99999999534</v>
      </c>
      <c r="E229" s="277">
        <f t="shared" si="38"/>
        <v>351000.00000000669</v>
      </c>
      <c r="F229" s="12">
        <f t="shared" si="39"/>
        <v>22750000.000000451</v>
      </c>
    </row>
    <row r="230" spans="2:6" x14ac:dyDescent="0.25">
      <c r="B230" s="44">
        <v>86</v>
      </c>
      <c r="C230" s="12">
        <f t="shared" si="36"/>
        <v>991250.0000000021</v>
      </c>
      <c r="D230" s="12">
        <f t="shared" si="37"/>
        <v>649999.99999999534</v>
      </c>
      <c r="E230" s="277">
        <f t="shared" si="38"/>
        <v>341250.00000000675</v>
      </c>
      <c r="F230" s="12">
        <f t="shared" si="39"/>
        <v>22100000.000000454</v>
      </c>
    </row>
    <row r="231" spans="2:6" x14ac:dyDescent="0.25">
      <c r="B231" s="44">
        <v>87</v>
      </c>
      <c r="C231" s="12">
        <f t="shared" si="36"/>
        <v>981500.0000000021</v>
      </c>
      <c r="D231" s="12">
        <f t="shared" si="37"/>
        <v>649999.99999999534</v>
      </c>
      <c r="E231" s="277">
        <f t="shared" si="38"/>
        <v>331500.00000000681</v>
      </c>
      <c r="F231" s="12">
        <f t="shared" si="39"/>
        <v>21450000.000000458</v>
      </c>
    </row>
    <row r="232" spans="2:6" x14ac:dyDescent="0.25">
      <c r="B232" s="44">
        <v>88</v>
      </c>
      <c r="C232" s="12">
        <f t="shared" si="36"/>
        <v>971750.00000000221</v>
      </c>
      <c r="D232" s="12">
        <f t="shared" si="37"/>
        <v>649999.99999999534</v>
      </c>
      <c r="E232" s="277">
        <f t="shared" si="38"/>
        <v>321750.00000000687</v>
      </c>
      <c r="F232" s="12">
        <f t="shared" si="39"/>
        <v>20800000.000000462</v>
      </c>
    </row>
    <row r="233" spans="2:6" x14ac:dyDescent="0.25">
      <c r="B233" s="44">
        <v>89</v>
      </c>
      <c r="C233" s="12">
        <f t="shared" si="36"/>
        <v>962000.00000000233</v>
      </c>
      <c r="D233" s="12">
        <f t="shared" si="37"/>
        <v>649999.99999999534</v>
      </c>
      <c r="E233" s="277">
        <f t="shared" si="38"/>
        <v>312000.00000000693</v>
      </c>
      <c r="F233" s="12">
        <f t="shared" si="39"/>
        <v>20150000.000000466</v>
      </c>
    </row>
    <row r="234" spans="2:6" x14ac:dyDescent="0.25">
      <c r="B234" s="44">
        <v>90</v>
      </c>
      <c r="C234" s="12">
        <f t="shared" si="36"/>
        <v>952250.00000000233</v>
      </c>
      <c r="D234" s="12">
        <f t="shared" si="37"/>
        <v>649999.99999999534</v>
      </c>
      <c r="E234" s="277">
        <f t="shared" si="38"/>
        <v>302250.00000000698</v>
      </c>
      <c r="F234" s="12">
        <f t="shared" si="39"/>
        <v>19500000.000000469</v>
      </c>
    </row>
    <row r="235" spans="2:6" x14ac:dyDescent="0.25">
      <c r="B235" s="44">
        <v>91</v>
      </c>
      <c r="C235" s="12">
        <f t="shared" si="36"/>
        <v>942500.00000000233</v>
      </c>
      <c r="D235" s="12">
        <f t="shared" si="37"/>
        <v>649999.99999999534</v>
      </c>
      <c r="E235" s="277">
        <f t="shared" si="38"/>
        <v>292500.00000000704</v>
      </c>
      <c r="F235" s="12">
        <f t="shared" si="39"/>
        <v>18850000.000000473</v>
      </c>
    </row>
    <row r="236" spans="2:6" x14ac:dyDescent="0.25">
      <c r="B236" s="44">
        <v>92</v>
      </c>
      <c r="C236" s="12">
        <f t="shared" si="36"/>
        <v>932750.00000000244</v>
      </c>
      <c r="D236" s="12">
        <f t="shared" si="37"/>
        <v>649999.99999999534</v>
      </c>
      <c r="E236" s="277">
        <f t="shared" si="38"/>
        <v>282750.0000000071</v>
      </c>
      <c r="F236" s="12">
        <f t="shared" si="39"/>
        <v>18200000.000000477</v>
      </c>
    </row>
    <row r="237" spans="2:6" x14ac:dyDescent="0.25">
      <c r="B237" s="44">
        <v>93</v>
      </c>
      <c r="C237" s="12">
        <f t="shared" si="36"/>
        <v>923000.00000000256</v>
      </c>
      <c r="D237" s="12">
        <f t="shared" si="37"/>
        <v>649999.99999999534</v>
      </c>
      <c r="E237" s="277">
        <f t="shared" si="38"/>
        <v>273000.00000000716</v>
      </c>
      <c r="F237" s="12">
        <f t="shared" si="39"/>
        <v>17550000.000000481</v>
      </c>
    </row>
    <row r="238" spans="2:6" x14ac:dyDescent="0.25">
      <c r="B238" s="44">
        <v>94</v>
      </c>
      <c r="C238" s="12">
        <f t="shared" si="36"/>
        <v>913250.00000000256</v>
      </c>
      <c r="D238" s="12">
        <f t="shared" si="37"/>
        <v>649999.99999999534</v>
      </c>
      <c r="E238" s="277">
        <f t="shared" si="38"/>
        <v>263250.00000000722</v>
      </c>
      <c r="F238" s="12">
        <f t="shared" si="39"/>
        <v>16900000.000000484</v>
      </c>
    </row>
    <row r="239" spans="2:6" x14ac:dyDescent="0.25">
      <c r="B239" s="44">
        <v>95</v>
      </c>
      <c r="C239" s="12">
        <f t="shared" si="36"/>
        <v>903500.00000000256</v>
      </c>
      <c r="D239" s="12">
        <f t="shared" si="37"/>
        <v>649999.99999999534</v>
      </c>
      <c r="E239" s="277">
        <f t="shared" si="38"/>
        <v>253500.00000000725</v>
      </c>
      <c r="F239" s="12">
        <f t="shared" si="39"/>
        <v>16250000.000000488</v>
      </c>
    </row>
    <row r="240" spans="2:6" x14ac:dyDescent="0.25">
      <c r="B240" s="44">
        <v>96</v>
      </c>
      <c r="C240" s="12">
        <f t="shared" si="36"/>
        <v>893750.00000000268</v>
      </c>
      <c r="D240" s="12">
        <f t="shared" si="37"/>
        <v>649999.99999999534</v>
      </c>
      <c r="E240" s="277">
        <f t="shared" si="38"/>
        <v>243750.00000000731</v>
      </c>
      <c r="F240" s="12">
        <f t="shared" si="39"/>
        <v>15600000.000000492</v>
      </c>
    </row>
    <row r="241" spans="2:6" x14ac:dyDescent="0.25">
      <c r="B241" s="44">
        <v>97</v>
      </c>
      <c r="C241" s="12">
        <f t="shared" si="36"/>
        <v>884000.00000000268</v>
      </c>
      <c r="D241" s="12">
        <f t="shared" si="37"/>
        <v>649999.99999999534</v>
      </c>
      <c r="E241" s="277">
        <f t="shared" si="38"/>
        <v>234000.00000000736</v>
      </c>
      <c r="F241" s="12">
        <f t="shared" si="39"/>
        <v>14950000.000000495</v>
      </c>
    </row>
    <row r="242" spans="2:6" x14ac:dyDescent="0.25">
      <c r="B242" s="44">
        <v>98</v>
      </c>
      <c r="C242" s="12">
        <f t="shared" si="36"/>
        <v>874250.00000000279</v>
      </c>
      <c r="D242" s="12">
        <f t="shared" si="37"/>
        <v>649999.99999999534</v>
      </c>
      <c r="E242" s="277">
        <f t="shared" si="38"/>
        <v>224250.00000000742</v>
      </c>
      <c r="F242" s="12">
        <f t="shared" si="39"/>
        <v>14300000.000000499</v>
      </c>
    </row>
    <row r="243" spans="2:6" x14ac:dyDescent="0.25">
      <c r="B243" s="44">
        <v>99</v>
      </c>
      <c r="C243" s="12">
        <f t="shared" si="36"/>
        <v>864500.00000000279</v>
      </c>
      <c r="D243" s="12">
        <f t="shared" si="37"/>
        <v>649999.99999999534</v>
      </c>
      <c r="E243" s="277">
        <f t="shared" si="38"/>
        <v>214500.00000000748</v>
      </c>
      <c r="F243" s="12">
        <f t="shared" si="39"/>
        <v>13650000.000000503</v>
      </c>
    </row>
    <row r="244" spans="2:6" x14ac:dyDescent="0.25">
      <c r="B244" s="44">
        <v>100</v>
      </c>
      <c r="C244" s="12">
        <f t="shared" si="36"/>
        <v>854750.00000000291</v>
      </c>
      <c r="D244" s="12">
        <f t="shared" si="37"/>
        <v>649999.99999999534</v>
      </c>
      <c r="E244" s="277">
        <f t="shared" si="38"/>
        <v>204750.00000000754</v>
      </c>
      <c r="F244" s="12">
        <f t="shared" si="39"/>
        <v>13000000.000000507</v>
      </c>
    </row>
    <row r="245" spans="2:6" x14ac:dyDescent="0.25">
      <c r="B245" s="44">
        <v>101</v>
      </c>
      <c r="C245" s="12">
        <f t="shared" si="36"/>
        <v>845000.00000000291</v>
      </c>
      <c r="D245" s="12">
        <f t="shared" si="37"/>
        <v>649999.99999999534</v>
      </c>
      <c r="E245" s="277">
        <f t="shared" si="38"/>
        <v>195000.0000000076</v>
      </c>
      <c r="F245" s="12">
        <f t="shared" si="39"/>
        <v>12350000.00000051</v>
      </c>
    </row>
    <row r="246" spans="2:6" x14ac:dyDescent="0.25">
      <c r="B246" s="44">
        <v>102</v>
      </c>
      <c r="C246" s="12">
        <f t="shared" si="36"/>
        <v>835250.00000000303</v>
      </c>
      <c r="D246" s="12">
        <f t="shared" si="37"/>
        <v>649999.99999999534</v>
      </c>
      <c r="E246" s="277">
        <f t="shared" si="38"/>
        <v>185250.00000000765</v>
      </c>
      <c r="F246" s="12">
        <f t="shared" si="39"/>
        <v>11700000.000000514</v>
      </c>
    </row>
    <row r="247" spans="2:6" x14ac:dyDescent="0.25">
      <c r="B247" s="44">
        <v>103</v>
      </c>
      <c r="C247" s="12">
        <f t="shared" si="36"/>
        <v>825500.00000000303</v>
      </c>
      <c r="D247" s="12">
        <f t="shared" si="37"/>
        <v>649999.99999999534</v>
      </c>
      <c r="E247" s="277">
        <f t="shared" si="38"/>
        <v>175500.00000000771</v>
      </c>
      <c r="F247" s="12">
        <f t="shared" si="39"/>
        <v>11050000.000000518</v>
      </c>
    </row>
    <row r="248" spans="2:6" x14ac:dyDescent="0.25">
      <c r="B248" s="44">
        <v>104</v>
      </c>
      <c r="C248" s="12">
        <f t="shared" si="36"/>
        <v>815750.00000000314</v>
      </c>
      <c r="D248" s="12">
        <f t="shared" si="37"/>
        <v>649999.99999999534</v>
      </c>
      <c r="E248" s="277">
        <f t="shared" si="38"/>
        <v>165750.00000000777</v>
      </c>
      <c r="F248" s="12">
        <f t="shared" si="39"/>
        <v>10400000.000000522</v>
      </c>
    </row>
    <row r="249" spans="2:6" x14ac:dyDescent="0.25">
      <c r="B249" s="44">
        <v>105</v>
      </c>
      <c r="C249" s="12">
        <f t="shared" si="36"/>
        <v>806000.00000000314</v>
      </c>
      <c r="D249" s="12">
        <f t="shared" si="37"/>
        <v>649999.99999999534</v>
      </c>
      <c r="E249" s="277">
        <f t="shared" si="38"/>
        <v>156000.00000000783</v>
      </c>
      <c r="F249" s="12">
        <f t="shared" si="39"/>
        <v>9750000.0000005253</v>
      </c>
    </row>
    <row r="250" spans="2:6" x14ac:dyDescent="0.25">
      <c r="B250" s="44">
        <v>106</v>
      </c>
      <c r="C250" s="12">
        <f t="shared" si="36"/>
        <v>796250.00000000326</v>
      </c>
      <c r="D250" s="12">
        <f t="shared" si="37"/>
        <v>649999.99999999534</v>
      </c>
      <c r="E250" s="277">
        <f t="shared" si="38"/>
        <v>146250.00000000789</v>
      </c>
      <c r="F250" s="12">
        <f t="shared" si="39"/>
        <v>9100000.000000529</v>
      </c>
    </row>
    <row r="251" spans="2:6" x14ac:dyDescent="0.25">
      <c r="B251" s="44">
        <v>107</v>
      </c>
      <c r="C251" s="12">
        <f t="shared" si="36"/>
        <v>786500.00000000326</v>
      </c>
      <c r="D251" s="12">
        <f t="shared" si="37"/>
        <v>649999.99999999534</v>
      </c>
      <c r="E251" s="277">
        <f t="shared" si="38"/>
        <v>136500.00000000792</v>
      </c>
      <c r="F251" s="12">
        <f t="shared" si="39"/>
        <v>8450000.0000005327</v>
      </c>
    </row>
    <row r="252" spans="2:6" x14ac:dyDescent="0.25">
      <c r="B252" s="44">
        <v>108</v>
      </c>
      <c r="C252" s="12">
        <f t="shared" si="36"/>
        <v>776750.00000000338</v>
      </c>
      <c r="D252" s="12">
        <f t="shared" si="37"/>
        <v>649999.99999999534</v>
      </c>
      <c r="E252" s="277">
        <f t="shared" si="38"/>
        <v>126750.00000000799</v>
      </c>
      <c r="F252" s="12">
        <f t="shared" si="39"/>
        <v>7800000.0000005374</v>
      </c>
    </row>
    <row r="253" spans="2:6" x14ac:dyDescent="0.25">
      <c r="B253" s="44">
        <v>109</v>
      </c>
      <c r="C253" s="12">
        <f t="shared" si="36"/>
        <v>767000.00000000338</v>
      </c>
      <c r="D253" s="12">
        <f t="shared" si="37"/>
        <v>649999.99999999534</v>
      </c>
      <c r="E253" s="277">
        <f t="shared" si="38"/>
        <v>117000.00000000806</v>
      </c>
      <c r="F253" s="12">
        <f t="shared" si="39"/>
        <v>7150000.000000542</v>
      </c>
    </row>
    <row r="254" spans="2:6" x14ac:dyDescent="0.25">
      <c r="B254" s="44">
        <v>110</v>
      </c>
      <c r="C254" s="12">
        <f t="shared" si="36"/>
        <v>757250.00000000349</v>
      </c>
      <c r="D254" s="12">
        <f t="shared" si="37"/>
        <v>649999.99999999534</v>
      </c>
      <c r="E254" s="277">
        <f t="shared" si="38"/>
        <v>107250.00000000812</v>
      </c>
      <c r="F254" s="12">
        <f t="shared" si="39"/>
        <v>6500000.0000005467</v>
      </c>
    </row>
    <row r="255" spans="2:6" x14ac:dyDescent="0.25">
      <c r="B255" s="44">
        <v>111</v>
      </c>
      <c r="C255" s="12">
        <f t="shared" si="36"/>
        <v>747500.00000000349</v>
      </c>
      <c r="D255" s="12">
        <f t="shared" si="37"/>
        <v>649999.99999999534</v>
      </c>
      <c r="E255" s="277">
        <f t="shared" si="38"/>
        <v>97500.000000008193</v>
      </c>
      <c r="F255" s="12">
        <f t="shared" si="39"/>
        <v>5850000.0000005513</v>
      </c>
    </row>
    <row r="256" spans="2:6" x14ac:dyDescent="0.25">
      <c r="B256" s="44">
        <v>112</v>
      </c>
      <c r="C256" s="12">
        <f t="shared" si="36"/>
        <v>737750.00000000361</v>
      </c>
      <c r="D256" s="12">
        <f t="shared" si="37"/>
        <v>649999.99999999534</v>
      </c>
      <c r="E256" s="277">
        <f t="shared" si="38"/>
        <v>87750.000000008265</v>
      </c>
      <c r="F256" s="12">
        <f t="shared" si="39"/>
        <v>5200000.000000556</v>
      </c>
    </row>
    <row r="257" spans="1:16" x14ac:dyDescent="0.25">
      <c r="B257" s="44">
        <v>113</v>
      </c>
      <c r="C257" s="12">
        <f t="shared" si="36"/>
        <v>728000.00000000373</v>
      </c>
      <c r="D257" s="12">
        <f t="shared" si="37"/>
        <v>649999.99999999534</v>
      </c>
      <c r="E257" s="277">
        <f t="shared" si="38"/>
        <v>78000.000000008338</v>
      </c>
      <c r="F257" s="12">
        <f t="shared" si="39"/>
        <v>4550000.0000005607</v>
      </c>
    </row>
    <row r="258" spans="1:16" x14ac:dyDescent="0.25">
      <c r="B258" s="44">
        <v>114</v>
      </c>
      <c r="C258" s="12">
        <f t="shared" si="36"/>
        <v>718250.00000000373</v>
      </c>
      <c r="D258" s="12">
        <f t="shared" si="37"/>
        <v>649999.99999999534</v>
      </c>
      <c r="E258" s="277">
        <f t="shared" si="38"/>
        <v>68250.000000008411</v>
      </c>
      <c r="F258" s="12">
        <f t="shared" si="39"/>
        <v>3900000.0000005653</v>
      </c>
    </row>
    <row r="259" spans="1:16" x14ac:dyDescent="0.25">
      <c r="B259" s="44">
        <v>115</v>
      </c>
      <c r="C259" s="12">
        <f t="shared" si="36"/>
        <v>708500.00000000384</v>
      </c>
      <c r="D259" s="12">
        <f t="shared" si="37"/>
        <v>649999.99999999534</v>
      </c>
      <c r="E259" s="277">
        <f t="shared" si="38"/>
        <v>58500.000000008476</v>
      </c>
      <c r="F259" s="12">
        <f t="shared" si="39"/>
        <v>3250000.00000057</v>
      </c>
    </row>
    <row r="260" spans="1:16" x14ac:dyDescent="0.25">
      <c r="B260" s="44">
        <v>116</v>
      </c>
      <c r="C260" s="12">
        <f t="shared" si="36"/>
        <v>698750.00000000384</v>
      </c>
      <c r="D260" s="12">
        <f t="shared" si="37"/>
        <v>649999.99999999534</v>
      </c>
      <c r="E260" s="277">
        <f t="shared" si="38"/>
        <v>48750.000000008549</v>
      </c>
      <c r="F260" s="12">
        <f t="shared" si="39"/>
        <v>2600000.0000005746</v>
      </c>
    </row>
    <row r="261" spans="1:16" x14ac:dyDescent="0.25">
      <c r="B261" s="44">
        <v>117</v>
      </c>
      <c r="C261" s="12">
        <f t="shared" si="36"/>
        <v>689000.00000000396</v>
      </c>
      <c r="D261" s="12">
        <f t="shared" si="37"/>
        <v>649999.99999999534</v>
      </c>
      <c r="E261" s="277">
        <f t="shared" si="38"/>
        <v>39000.000000008615</v>
      </c>
      <c r="F261" s="12">
        <f t="shared" si="39"/>
        <v>1950000.0000005793</v>
      </c>
    </row>
    <row r="262" spans="1:16" x14ac:dyDescent="0.25">
      <c r="B262" s="44">
        <v>118</v>
      </c>
      <c r="C262" s="12">
        <f t="shared" si="36"/>
        <v>679250.00000000407</v>
      </c>
      <c r="D262" s="12">
        <f t="shared" si="37"/>
        <v>649999.99999999534</v>
      </c>
      <c r="E262" s="277">
        <f t="shared" si="38"/>
        <v>29250.000000008687</v>
      </c>
      <c r="F262" s="12">
        <f t="shared" si="39"/>
        <v>1300000.0000005839</v>
      </c>
    </row>
    <row r="263" spans="1:16" x14ac:dyDescent="0.25">
      <c r="B263" s="44">
        <v>119</v>
      </c>
      <c r="C263" s="12">
        <f t="shared" si="36"/>
        <v>669500.00000000407</v>
      </c>
      <c r="D263" s="12">
        <f t="shared" si="37"/>
        <v>649999.99999999534</v>
      </c>
      <c r="E263" s="277">
        <f t="shared" si="38"/>
        <v>19500.000000008757</v>
      </c>
      <c r="F263" s="12">
        <f t="shared" si="39"/>
        <v>650000.0000005886</v>
      </c>
    </row>
    <row r="264" spans="1:16" x14ac:dyDescent="0.25">
      <c r="B264" s="44">
        <v>120</v>
      </c>
      <c r="C264" s="12">
        <f t="shared" si="36"/>
        <v>659750.00000000419</v>
      </c>
      <c r="D264" s="12">
        <f t="shared" si="37"/>
        <v>649999.99999999534</v>
      </c>
      <c r="E264" s="277">
        <f t="shared" si="38"/>
        <v>9750.0000000088294</v>
      </c>
      <c r="F264" s="12">
        <f t="shared" si="39"/>
        <v>5.9325248003005981E-7</v>
      </c>
    </row>
    <row r="265" spans="1:16" x14ac:dyDescent="0.25">
      <c r="E265" s="278">
        <f>SUM(E145:E264)</f>
        <v>70785000.000000641</v>
      </c>
      <c r="F265" s="276">
        <f>PV(D138,B264,,-E265)</f>
        <v>11858128.888993051</v>
      </c>
    </row>
    <row r="267" spans="1:16" x14ac:dyDescent="0.25">
      <c r="A267" s="165" t="s">
        <v>270</v>
      </c>
      <c r="B267" s="165"/>
      <c r="C267" s="165"/>
      <c r="D267" s="165"/>
      <c r="E267" s="165"/>
    </row>
    <row r="268" spans="1:16" x14ac:dyDescent="0.25">
      <c r="A268" s="77"/>
      <c r="B268" s="77"/>
      <c r="C268" s="77"/>
      <c r="D268" s="77"/>
      <c r="E268" s="77"/>
    </row>
    <row r="269" spans="1:16" x14ac:dyDescent="0.25">
      <c r="A269" s="211" t="s">
        <v>271</v>
      </c>
      <c r="B269" s="211"/>
      <c r="C269" s="211"/>
      <c r="D269" s="29">
        <v>3000000</v>
      </c>
      <c r="E269" s="77"/>
      <c r="L269" s="211" t="s">
        <v>271</v>
      </c>
      <c r="M269" s="211"/>
      <c r="N269" s="211"/>
      <c r="O269" s="29">
        <v>3000000</v>
      </c>
    </row>
    <row r="270" spans="1:16" x14ac:dyDescent="0.25">
      <c r="A270" s="279" t="s">
        <v>110</v>
      </c>
      <c r="B270" s="280"/>
      <c r="C270" s="281"/>
      <c r="D270" s="29">
        <v>923868.90863363119</v>
      </c>
      <c r="E270" s="77"/>
      <c r="L270" s="211" t="s">
        <v>111</v>
      </c>
      <c r="M270" s="211"/>
      <c r="N270" s="211"/>
      <c r="O270" s="29">
        <v>149999.99999999948</v>
      </c>
    </row>
    <row r="271" spans="1:16" x14ac:dyDescent="0.25">
      <c r="A271" s="77"/>
      <c r="B271" s="77"/>
      <c r="C271" s="77"/>
      <c r="D271" s="77"/>
      <c r="E271" s="77"/>
    </row>
    <row r="272" spans="1:16" x14ac:dyDescent="0.25">
      <c r="B272" s="282" t="s">
        <v>272</v>
      </c>
      <c r="C272" s="282"/>
      <c r="D272" s="282"/>
      <c r="E272" s="282"/>
      <c r="F272" s="282"/>
      <c r="L272" s="282" t="s">
        <v>273</v>
      </c>
      <c r="M272" s="282"/>
      <c r="N272" s="282"/>
      <c r="O272" s="282"/>
      <c r="P272" s="282"/>
    </row>
    <row r="273" spans="2:16" x14ac:dyDescent="0.25">
      <c r="B273" s="44" t="s">
        <v>264</v>
      </c>
      <c r="C273" s="44" t="s">
        <v>110</v>
      </c>
      <c r="D273" s="44" t="s">
        <v>195</v>
      </c>
      <c r="E273" s="44" t="s">
        <v>206</v>
      </c>
      <c r="F273" s="44" t="s">
        <v>196</v>
      </c>
      <c r="L273" s="44" t="s">
        <v>264</v>
      </c>
      <c r="M273" s="44" t="s">
        <v>110</v>
      </c>
      <c r="N273" s="44" t="s">
        <v>195</v>
      </c>
      <c r="O273" s="44" t="s">
        <v>206</v>
      </c>
      <c r="P273" s="44" t="s">
        <v>196</v>
      </c>
    </row>
    <row r="274" spans="2:16" x14ac:dyDescent="0.25">
      <c r="B274" s="44">
        <v>0</v>
      </c>
      <c r="C274" s="12"/>
      <c r="D274" s="12"/>
      <c r="E274" s="12"/>
      <c r="F274" s="12">
        <f>D137</f>
        <v>78000000</v>
      </c>
      <c r="L274" s="44">
        <v>0</v>
      </c>
      <c r="M274" s="12"/>
      <c r="N274" s="12"/>
      <c r="O274" s="12"/>
      <c r="P274" s="12">
        <f>D137</f>
        <v>78000000</v>
      </c>
    </row>
    <row r="275" spans="2:16" x14ac:dyDescent="0.25">
      <c r="B275" s="44">
        <v>1</v>
      </c>
      <c r="C275" s="12">
        <f>$D$270</f>
        <v>923868.90863363119</v>
      </c>
      <c r="D275" s="12">
        <f>C275-E275</f>
        <v>-246131.09136636881</v>
      </c>
      <c r="E275" s="12">
        <f>F274*$C$7</f>
        <v>1170000</v>
      </c>
      <c r="F275" s="12">
        <f>F274-D275</f>
        <v>78246131.091366366</v>
      </c>
      <c r="L275" s="44">
        <v>1</v>
      </c>
      <c r="M275" s="12">
        <f>N275+O275</f>
        <v>1319999.9999999995</v>
      </c>
      <c r="N275" s="12">
        <f>$O$270</f>
        <v>149999.99999999948</v>
      </c>
      <c r="O275" s="12">
        <f>P274*$D$138</f>
        <v>1170000</v>
      </c>
      <c r="P275" s="12">
        <f>P274-N275</f>
        <v>77850000</v>
      </c>
    </row>
    <row r="276" spans="2:16" x14ac:dyDescent="0.25">
      <c r="B276" s="44">
        <v>2</v>
      </c>
      <c r="C276" s="12">
        <f t="shared" ref="C276:C339" si="40">$D$270</f>
        <v>923868.90863363119</v>
      </c>
      <c r="D276" s="12">
        <f t="shared" ref="D276:D339" si="41">C276-E276</f>
        <v>-249823.05773686431</v>
      </c>
      <c r="E276" s="12">
        <f t="shared" ref="E276:E340" si="42">F275*$C$7</f>
        <v>1173691.9663704955</v>
      </c>
      <c r="F276" s="12">
        <f t="shared" ref="F276:F294" si="43">F275-D276</f>
        <v>78495954.149103224</v>
      </c>
      <c r="L276" s="44">
        <v>2</v>
      </c>
      <c r="M276" s="12">
        <f t="shared" ref="M276:M339" si="44">N276+O276</f>
        <v>1317749.9999999995</v>
      </c>
      <c r="N276" s="12">
        <f t="shared" ref="N276:N339" si="45">$O$270</f>
        <v>149999.99999999948</v>
      </c>
      <c r="O276" s="12">
        <f t="shared" ref="O276:O339" si="46">P275*$D$138</f>
        <v>1167750</v>
      </c>
      <c r="P276" s="12">
        <f t="shared" ref="P276:P339" si="47">P275-N276</f>
        <v>77700000</v>
      </c>
    </row>
    <row r="277" spans="2:16" x14ac:dyDescent="0.25">
      <c r="B277" s="44">
        <v>3</v>
      </c>
      <c r="C277" s="12">
        <f t="shared" si="40"/>
        <v>923868.90863363119</v>
      </c>
      <c r="D277" s="12">
        <f t="shared" si="41"/>
        <v>-253570.40360291721</v>
      </c>
      <c r="E277" s="12">
        <f t="shared" si="42"/>
        <v>1177439.3122365484</v>
      </c>
      <c r="F277" s="12">
        <f t="shared" si="43"/>
        <v>78749524.552706137</v>
      </c>
      <c r="L277" s="44">
        <v>3</v>
      </c>
      <c r="M277" s="12">
        <f t="shared" si="44"/>
        <v>1315499.9999999995</v>
      </c>
      <c r="N277" s="12">
        <f t="shared" si="45"/>
        <v>149999.99999999948</v>
      </c>
      <c r="O277" s="12">
        <f t="shared" si="46"/>
        <v>1165500</v>
      </c>
      <c r="P277" s="12">
        <f t="shared" si="47"/>
        <v>77550000</v>
      </c>
    </row>
    <row r="278" spans="2:16" x14ac:dyDescent="0.25">
      <c r="B278" s="44">
        <v>4</v>
      </c>
      <c r="C278" s="12">
        <f t="shared" si="40"/>
        <v>923868.90863363119</v>
      </c>
      <c r="D278" s="12">
        <f t="shared" si="41"/>
        <v>-257373.9596569608</v>
      </c>
      <c r="E278" s="12">
        <f t="shared" si="42"/>
        <v>1181242.868290592</v>
      </c>
      <c r="F278" s="12">
        <f t="shared" si="43"/>
        <v>79006898.512363091</v>
      </c>
      <c r="L278" s="44">
        <v>4</v>
      </c>
      <c r="M278" s="12">
        <f t="shared" si="44"/>
        <v>1313249.9999999995</v>
      </c>
      <c r="N278" s="12">
        <f t="shared" si="45"/>
        <v>149999.99999999948</v>
      </c>
      <c r="O278" s="12">
        <f t="shared" si="46"/>
        <v>1163250</v>
      </c>
      <c r="P278" s="12">
        <f t="shared" si="47"/>
        <v>77400000</v>
      </c>
    </row>
    <row r="279" spans="2:16" x14ac:dyDescent="0.25">
      <c r="B279" s="44">
        <v>5</v>
      </c>
      <c r="C279" s="12">
        <f t="shared" si="40"/>
        <v>923868.90863363119</v>
      </c>
      <c r="D279" s="12">
        <f t="shared" si="41"/>
        <v>-261234.5690518152</v>
      </c>
      <c r="E279" s="12">
        <f t="shared" si="42"/>
        <v>1185103.4776854464</v>
      </c>
      <c r="F279" s="12">
        <f t="shared" si="43"/>
        <v>79268133.081414908</v>
      </c>
      <c r="L279" s="44">
        <v>5</v>
      </c>
      <c r="M279" s="12">
        <f t="shared" si="44"/>
        <v>1310999.9999999995</v>
      </c>
      <c r="N279" s="12">
        <f t="shared" si="45"/>
        <v>149999.99999999948</v>
      </c>
      <c r="O279" s="12">
        <f t="shared" si="46"/>
        <v>1161000</v>
      </c>
      <c r="P279" s="12">
        <f t="shared" si="47"/>
        <v>77250000</v>
      </c>
    </row>
    <row r="280" spans="2:16" x14ac:dyDescent="0.25">
      <c r="B280" s="44">
        <v>6</v>
      </c>
      <c r="C280" s="12">
        <f t="shared" si="40"/>
        <v>923868.90863363119</v>
      </c>
      <c r="D280" s="12">
        <f>C280-E280+3000000</f>
        <v>2734846.9124124078</v>
      </c>
      <c r="E280" s="12">
        <f t="shared" si="42"/>
        <v>1189021.9962212236</v>
      </c>
      <c r="F280" s="12">
        <f t="shared" si="43"/>
        <v>76533286.169002503</v>
      </c>
      <c r="L280" s="44">
        <v>6</v>
      </c>
      <c r="M280" s="12">
        <f>N280+O280</f>
        <v>4308750</v>
      </c>
      <c r="N280" s="12">
        <f>$O$270+$O$269</f>
        <v>3149999.9999999995</v>
      </c>
      <c r="O280" s="12">
        <f t="shared" si="46"/>
        <v>1158750</v>
      </c>
      <c r="P280" s="12">
        <f t="shared" si="47"/>
        <v>74100000</v>
      </c>
    </row>
    <row r="281" spans="2:16" x14ac:dyDescent="0.25">
      <c r="B281" s="44">
        <v>7</v>
      </c>
      <c r="C281" s="12">
        <f t="shared" si="40"/>
        <v>923868.90863363119</v>
      </c>
      <c r="D281" s="12">
        <f t="shared" si="41"/>
        <v>-224130.38390140631</v>
      </c>
      <c r="E281" s="12">
        <f t="shared" si="42"/>
        <v>1147999.2925350375</v>
      </c>
      <c r="F281" s="12">
        <f t="shared" si="43"/>
        <v>76757416.552903906</v>
      </c>
      <c r="L281" s="44">
        <v>7</v>
      </c>
      <c r="M281" s="12">
        <f t="shared" si="44"/>
        <v>1261499.9999999995</v>
      </c>
      <c r="N281" s="12">
        <f t="shared" ref="N281" si="48">$O$270</f>
        <v>149999.99999999948</v>
      </c>
      <c r="O281" s="12">
        <f t="shared" si="46"/>
        <v>1111500</v>
      </c>
      <c r="P281" s="12">
        <f t="shared" si="47"/>
        <v>73950000</v>
      </c>
    </row>
    <row r="282" spans="2:16" x14ac:dyDescent="0.25">
      <c r="B282" s="44">
        <v>8</v>
      </c>
      <c r="C282" s="12">
        <f t="shared" si="40"/>
        <v>923868.90863363119</v>
      </c>
      <c r="D282" s="12">
        <f t="shared" si="41"/>
        <v>-227492.33965992741</v>
      </c>
      <c r="E282" s="12">
        <f t="shared" si="42"/>
        <v>1151361.2482935586</v>
      </c>
      <c r="F282" s="12">
        <f t="shared" si="43"/>
        <v>76984908.892563835</v>
      </c>
      <c r="L282" s="44">
        <v>8</v>
      </c>
      <c r="M282" s="12">
        <f t="shared" si="44"/>
        <v>1259249.9999999995</v>
      </c>
      <c r="N282" s="12">
        <f t="shared" si="45"/>
        <v>149999.99999999948</v>
      </c>
      <c r="O282" s="12">
        <f t="shared" si="46"/>
        <v>1109250</v>
      </c>
      <c r="P282" s="12">
        <f t="shared" si="47"/>
        <v>73800000</v>
      </c>
    </row>
    <row r="283" spans="2:16" x14ac:dyDescent="0.25">
      <c r="B283" s="44">
        <v>9</v>
      </c>
      <c r="C283" s="12">
        <f t="shared" si="40"/>
        <v>923868.90863363119</v>
      </c>
      <c r="D283" s="12">
        <f t="shared" si="41"/>
        <v>-230904.7247548264</v>
      </c>
      <c r="E283" s="12">
        <f t="shared" si="42"/>
        <v>1154773.6333884576</v>
      </c>
      <c r="F283" s="12">
        <f t="shared" si="43"/>
        <v>77215813.61731866</v>
      </c>
      <c r="L283" s="44">
        <v>9</v>
      </c>
      <c r="M283" s="12">
        <f t="shared" si="44"/>
        <v>1256999.9999999995</v>
      </c>
      <c r="N283" s="12">
        <f t="shared" si="45"/>
        <v>149999.99999999948</v>
      </c>
      <c r="O283" s="12">
        <f t="shared" si="46"/>
        <v>1107000</v>
      </c>
      <c r="P283" s="12">
        <f t="shared" si="47"/>
        <v>73650000</v>
      </c>
    </row>
    <row r="284" spans="2:16" x14ac:dyDescent="0.25">
      <c r="B284" s="44">
        <v>10</v>
      </c>
      <c r="C284" s="12">
        <f t="shared" si="40"/>
        <v>923868.90863363119</v>
      </c>
      <c r="D284" s="12">
        <f t="shared" si="41"/>
        <v>-234368.29562614858</v>
      </c>
      <c r="E284" s="12">
        <f t="shared" si="42"/>
        <v>1158237.2042597798</v>
      </c>
      <c r="F284" s="12">
        <f t="shared" si="43"/>
        <v>77450181.912944809</v>
      </c>
      <c r="L284" s="44">
        <v>10</v>
      </c>
      <c r="M284" s="12">
        <f t="shared" si="44"/>
        <v>1254749.9999999995</v>
      </c>
      <c r="N284" s="12">
        <f t="shared" si="45"/>
        <v>149999.99999999948</v>
      </c>
      <c r="O284" s="12">
        <f t="shared" si="46"/>
        <v>1104750</v>
      </c>
      <c r="P284" s="12">
        <f t="shared" si="47"/>
        <v>73500000</v>
      </c>
    </row>
    <row r="285" spans="2:16" x14ac:dyDescent="0.25">
      <c r="B285" s="44">
        <v>11</v>
      </c>
      <c r="C285" s="12">
        <f t="shared" si="40"/>
        <v>923868.90863363119</v>
      </c>
      <c r="D285" s="12">
        <f t="shared" si="41"/>
        <v>-237883.82006054092</v>
      </c>
      <c r="E285" s="12">
        <f t="shared" si="42"/>
        <v>1161752.7286941721</v>
      </c>
      <c r="F285" s="12">
        <f t="shared" si="43"/>
        <v>77688065.733005345</v>
      </c>
      <c r="L285" s="44">
        <v>11</v>
      </c>
      <c r="M285" s="12">
        <f t="shared" si="44"/>
        <v>1252499.9999999995</v>
      </c>
      <c r="N285" s="12">
        <f t="shared" si="45"/>
        <v>149999.99999999948</v>
      </c>
      <c r="O285" s="12">
        <f t="shared" si="46"/>
        <v>1102500</v>
      </c>
      <c r="P285" s="12">
        <f t="shared" si="47"/>
        <v>73350000</v>
      </c>
    </row>
    <row r="286" spans="2:16" x14ac:dyDescent="0.25">
      <c r="B286" s="44">
        <v>12</v>
      </c>
      <c r="C286" s="12">
        <f t="shared" si="40"/>
        <v>923868.90863363119</v>
      </c>
      <c r="D286" s="12">
        <f>C286-E286+3000000</f>
        <v>2758547.9226385513</v>
      </c>
      <c r="E286" s="12">
        <f t="shared" si="42"/>
        <v>1165320.9859950801</v>
      </c>
      <c r="F286" s="12">
        <f t="shared" si="43"/>
        <v>74929517.810366794</v>
      </c>
      <c r="L286" s="44">
        <v>12</v>
      </c>
      <c r="M286" s="12">
        <f t="shared" si="44"/>
        <v>4250250</v>
      </c>
      <c r="N286" s="12">
        <f t="shared" ref="N286" si="49">$O$270+$O$269</f>
        <v>3149999.9999999995</v>
      </c>
      <c r="O286" s="12">
        <f t="shared" si="46"/>
        <v>1100250</v>
      </c>
      <c r="P286" s="12">
        <f t="shared" si="47"/>
        <v>70200000</v>
      </c>
    </row>
    <row r="287" spans="2:16" x14ac:dyDescent="0.25">
      <c r="B287" s="44">
        <v>13</v>
      </c>
      <c r="C287" s="12">
        <f t="shared" si="40"/>
        <v>923868.90863363119</v>
      </c>
      <c r="D287" s="12">
        <f t="shared" si="41"/>
        <v>-200073.8585218708</v>
      </c>
      <c r="E287" s="12">
        <f t="shared" si="42"/>
        <v>1123942.767155502</v>
      </c>
      <c r="F287" s="12">
        <f t="shared" si="43"/>
        <v>75129591.668888658</v>
      </c>
      <c r="L287" s="44">
        <v>13</v>
      </c>
      <c r="M287" s="12">
        <f t="shared" si="44"/>
        <v>1202999.9999999995</v>
      </c>
      <c r="N287" s="12">
        <f t="shared" ref="N287" si="50">$O$270</f>
        <v>149999.99999999948</v>
      </c>
      <c r="O287" s="12">
        <f t="shared" si="46"/>
        <v>1053000</v>
      </c>
      <c r="P287" s="12">
        <f t="shared" si="47"/>
        <v>70050000</v>
      </c>
    </row>
    <row r="288" spans="2:16" x14ac:dyDescent="0.25">
      <c r="B288" s="44">
        <v>14</v>
      </c>
      <c r="C288" s="12">
        <f t="shared" si="40"/>
        <v>923868.90863363119</v>
      </c>
      <c r="D288" s="12">
        <f t="shared" si="41"/>
        <v>-203074.96639969875</v>
      </c>
      <c r="E288" s="12">
        <f t="shared" si="42"/>
        <v>1126943.8750333299</v>
      </c>
      <c r="F288" s="12">
        <f t="shared" si="43"/>
        <v>75332666.635288358</v>
      </c>
      <c r="L288" s="44">
        <v>14</v>
      </c>
      <c r="M288" s="12">
        <f t="shared" si="44"/>
        <v>1200749.9999999995</v>
      </c>
      <c r="N288" s="12">
        <f t="shared" si="45"/>
        <v>149999.99999999948</v>
      </c>
      <c r="O288" s="12">
        <f t="shared" si="46"/>
        <v>1050750</v>
      </c>
      <c r="P288" s="12">
        <f t="shared" si="47"/>
        <v>69900000</v>
      </c>
    </row>
    <row r="289" spans="2:16" x14ac:dyDescent="0.25">
      <c r="B289" s="44">
        <v>15</v>
      </c>
      <c r="C289" s="12">
        <f t="shared" si="40"/>
        <v>923868.90863363119</v>
      </c>
      <c r="D289" s="12">
        <f t="shared" si="41"/>
        <v>-206121.09089569421</v>
      </c>
      <c r="E289" s="12">
        <f t="shared" si="42"/>
        <v>1129989.9995293254</v>
      </c>
      <c r="F289" s="12">
        <f t="shared" si="43"/>
        <v>75538787.726184055</v>
      </c>
      <c r="L289" s="44">
        <v>15</v>
      </c>
      <c r="M289" s="12">
        <f t="shared" si="44"/>
        <v>1198499.9999999995</v>
      </c>
      <c r="N289" s="12">
        <f t="shared" si="45"/>
        <v>149999.99999999948</v>
      </c>
      <c r="O289" s="12">
        <f t="shared" si="46"/>
        <v>1048500</v>
      </c>
      <c r="P289" s="12">
        <f t="shared" si="47"/>
        <v>69750000</v>
      </c>
    </row>
    <row r="290" spans="2:16" x14ac:dyDescent="0.25">
      <c r="B290" s="44">
        <v>16</v>
      </c>
      <c r="C290" s="12">
        <f t="shared" si="40"/>
        <v>923868.90863363119</v>
      </c>
      <c r="D290" s="12">
        <f t="shared" si="41"/>
        <v>-209212.90725912969</v>
      </c>
      <c r="E290" s="12">
        <f t="shared" si="42"/>
        <v>1133081.8158927609</v>
      </c>
      <c r="F290" s="12">
        <f t="shared" si="43"/>
        <v>75748000.633443192</v>
      </c>
      <c r="L290" s="44">
        <v>16</v>
      </c>
      <c r="M290" s="12">
        <f t="shared" si="44"/>
        <v>1196249.9999999995</v>
      </c>
      <c r="N290" s="12">
        <f t="shared" si="45"/>
        <v>149999.99999999948</v>
      </c>
      <c r="O290" s="12">
        <f t="shared" si="46"/>
        <v>1046250</v>
      </c>
      <c r="P290" s="12">
        <f t="shared" si="47"/>
        <v>69600000</v>
      </c>
    </row>
    <row r="291" spans="2:16" x14ac:dyDescent="0.25">
      <c r="B291" s="44">
        <v>17</v>
      </c>
      <c r="C291" s="12">
        <f t="shared" si="40"/>
        <v>923868.90863363119</v>
      </c>
      <c r="D291" s="12">
        <f t="shared" si="41"/>
        <v>-212351.10086801671</v>
      </c>
      <c r="E291" s="12">
        <f t="shared" si="42"/>
        <v>1136220.0095016479</v>
      </c>
      <c r="F291" s="12">
        <f t="shared" si="43"/>
        <v>75960351.734311208</v>
      </c>
      <c r="L291" s="44">
        <v>17</v>
      </c>
      <c r="M291" s="12">
        <f t="shared" si="44"/>
        <v>1193999.9999999995</v>
      </c>
      <c r="N291" s="12">
        <f t="shared" si="45"/>
        <v>149999.99999999948</v>
      </c>
      <c r="O291" s="12">
        <f t="shared" si="46"/>
        <v>1044000</v>
      </c>
      <c r="P291" s="12">
        <f t="shared" si="47"/>
        <v>69450000</v>
      </c>
    </row>
    <row r="292" spans="2:16" x14ac:dyDescent="0.25">
      <c r="B292" s="44">
        <v>18</v>
      </c>
      <c r="C292" s="12">
        <f t="shared" si="40"/>
        <v>923868.90863363119</v>
      </c>
      <c r="D292" s="12">
        <f>C292-E292+3000000</f>
        <v>2784463.6326189628</v>
      </c>
      <c r="E292" s="12">
        <f t="shared" si="42"/>
        <v>1139405.2760146682</v>
      </c>
      <c r="F292" s="12">
        <f t="shared" si="43"/>
        <v>73175888.101692244</v>
      </c>
      <c r="L292" s="44">
        <v>18</v>
      </c>
      <c r="M292" s="12">
        <f t="shared" si="44"/>
        <v>4191749.9999999995</v>
      </c>
      <c r="N292" s="12">
        <f t="shared" ref="N292" si="51">$O$270+$O$269</f>
        <v>3149999.9999999995</v>
      </c>
      <c r="O292" s="12">
        <f t="shared" si="46"/>
        <v>1041750</v>
      </c>
      <c r="P292" s="12">
        <f t="shared" si="47"/>
        <v>66300000</v>
      </c>
    </row>
    <row r="293" spans="2:16" x14ac:dyDescent="0.25">
      <c r="B293" s="44">
        <v>19</v>
      </c>
      <c r="C293" s="12">
        <f t="shared" si="40"/>
        <v>923868.90863363119</v>
      </c>
      <c r="D293" s="12">
        <f t="shared" ref="D293" si="52">C293-E293</f>
        <v>-173769.41289175255</v>
      </c>
      <c r="E293" s="12">
        <f t="shared" si="42"/>
        <v>1097638.3215253837</v>
      </c>
      <c r="F293" s="12">
        <f t="shared" si="43"/>
        <v>73349657.51458399</v>
      </c>
      <c r="L293" s="44">
        <v>19</v>
      </c>
      <c r="M293" s="12">
        <f t="shared" si="44"/>
        <v>1144499.9999999995</v>
      </c>
      <c r="N293" s="12">
        <f t="shared" ref="N293" si="53">$O$270</f>
        <v>149999.99999999948</v>
      </c>
      <c r="O293" s="12">
        <f t="shared" si="46"/>
        <v>994500</v>
      </c>
      <c r="P293" s="12">
        <f t="shared" si="47"/>
        <v>66150000</v>
      </c>
    </row>
    <row r="294" spans="2:16" x14ac:dyDescent="0.25">
      <c r="B294" s="44">
        <v>20</v>
      </c>
      <c r="C294" s="12">
        <f t="shared" si="40"/>
        <v>923868.90863363119</v>
      </c>
      <c r="D294" s="12">
        <f t="shared" si="41"/>
        <v>-176375.95408512861</v>
      </c>
      <c r="E294" s="12">
        <f>F293*$C$7</f>
        <v>1100244.8627187598</v>
      </c>
      <c r="F294" s="12">
        <f t="shared" si="43"/>
        <v>73526033.468669116</v>
      </c>
      <c r="L294" s="44">
        <v>20</v>
      </c>
      <c r="M294" s="12">
        <f t="shared" si="44"/>
        <v>1142249.9999999995</v>
      </c>
      <c r="N294" s="12">
        <f t="shared" si="45"/>
        <v>149999.99999999948</v>
      </c>
      <c r="O294" s="12">
        <f t="shared" si="46"/>
        <v>992250</v>
      </c>
      <c r="P294" s="12">
        <f t="shared" si="47"/>
        <v>66000000</v>
      </c>
    </row>
    <row r="295" spans="2:16" x14ac:dyDescent="0.25">
      <c r="B295" s="44">
        <v>21</v>
      </c>
      <c r="C295" s="12">
        <f t="shared" si="40"/>
        <v>923868.90863363119</v>
      </c>
      <c r="D295" s="12">
        <f t="shared" si="41"/>
        <v>-179021.59339640546</v>
      </c>
      <c r="E295" s="12">
        <f>F294*$C$7</f>
        <v>1102890.5020300366</v>
      </c>
      <c r="F295" s="12">
        <f>F294-D295</f>
        <v>73705055.062065527</v>
      </c>
      <c r="L295" s="44">
        <v>21</v>
      </c>
      <c r="M295" s="12">
        <f t="shared" si="44"/>
        <v>1139999.9999999995</v>
      </c>
      <c r="N295" s="12">
        <f t="shared" si="45"/>
        <v>149999.99999999948</v>
      </c>
      <c r="O295" s="12">
        <f t="shared" si="46"/>
        <v>990000</v>
      </c>
      <c r="P295" s="12">
        <f t="shared" si="47"/>
        <v>65850000</v>
      </c>
    </row>
    <row r="296" spans="2:16" x14ac:dyDescent="0.25">
      <c r="B296" s="44">
        <v>22</v>
      </c>
      <c r="C296" s="12">
        <f t="shared" si="40"/>
        <v>923868.90863363119</v>
      </c>
      <c r="D296" s="12">
        <f t="shared" si="41"/>
        <v>-181706.91729735164</v>
      </c>
      <c r="E296" s="12">
        <f t="shared" si="42"/>
        <v>1105575.8259309828</v>
      </c>
      <c r="F296" s="12">
        <f t="shared" ref="F296:F308" si="54">F295-D296</f>
        <v>73886761.979362875</v>
      </c>
      <c r="L296" s="44">
        <v>22</v>
      </c>
      <c r="M296" s="12">
        <f t="shared" si="44"/>
        <v>1137749.9999999995</v>
      </c>
      <c r="N296" s="12">
        <f t="shared" si="45"/>
        <v>149999.99999999948</v>
      </c>
      <c r="O296" s="12">
        <f t="shared" si="46"/>
        <v>987750</v>
      </c>
      <c r="P296" s="12">
        <f t="shared" si="47"/>
        <v>65700000</v>
      </c>
    </row>
    <row r="297" spans="2:16" x14ac:dyDescent="0.25">
      <c r="B297" s="44">
        <v>23</v>
      </c>
      <c r="C297" s="12">
        <f t="shared" si="40"/>
        <v>923868.90863363119</v>
      </c>
      <c r="D297" s="12">
        <f t="shared" si="41"/>
        <v>-184432.52105681179</v>
      </c>
      <c r="E297" s="12">
        <f t="shared" si="42"/>
        <v>1108301.429690443</v>
      </c>
      <c r="F297" s="12">
        <f t="shared" si="54"/>
        <v>74071194.500419691</v>
      </c>
      <c r="L297" s="44">
        <v>23</v>
      </c>
      <c r="M297" s="12">
        <f t="shared" si="44"/>
        <v>1135499.9999999995</v>
      </c>
      <c r="N297" s="12">
        <f t="shared" si="45"/>
        <v>149999.99999999948</v>
      </c>
      <c r="O297" s="12">
        <f t="shared" si="46"/>
        <v>985500</v>
      </c>
      <c r="P297" s="12">
        <f t="shared" si="47"/>
        <v>65550000</v>
      </c>
    </row>
    <row r="298" spans="2:16" x14ac:dyDescent="0.25">
      <c r="B298" s="44">
        <v>24</v>
      </c>
      <c r="C298" s="12">
        <f t="shared" si="40"/>
        <v>923868.90863363119</v>
      </c>
      <c r="D298" s="12">
        <f t="shared" ref="D298" si="55">C298-E298+3000000</f>
        <v>2812800.9911273359</v>
      </c>
      <c r="E298" s="12">
        <f t="shared" si="42"/>
        <v>1111067.9175062953</v>
      </c>
      <c r="F298" s="12">
        <f t="shared" si="54"/>
        <v>71258393.509292349</v>
      </c>
      <c r="L298" s="44">
        <v>24</v>
      </c>
      <c r="M298" s="12">
        <f t="shared" si="44"/>
        <v>4133249.9999999995</v>
      </c>
      <c r="N298" s="12">
        <f t="shared" ref="N298" si="56">$O$270+$O$269</f>
        <v>3149999.9999999995</v>
      </c>
      <c r="O298" s="12">
        <f t="shared" si="46"/>
        <v>983250</v>
      </c>
      <c r="P298" s="12">
        <f t="shared" si="47"/>
        <v>62400000</v>
      </c>
    </row>
    <row r="299" spans="2:16" x14ac:dyDescent="0.25">
      <c r="B299" s="44">
        <v>25</v>
      </c>
      <c r="C299" s="12">
        <f t="shared" si="40"/>
        <v>923868.90863363119</v>
      </c>
      <c r="D299" s="12">
        <f t="shared" si="41"/>
        <v>-145006.99400575412</v>
      </c>
      <c r="E299" s="12">
        <f t="shared" si="42"/>
        <v>1068875.9026393853</v>
      </c>
      <c r="F299" s="12">
        <f t="shared" si="54"/>
        <v>71403400.503298104</v>
      </c>
      <c r="L299" s="44">
        <v>25</v>
      </c>
      <c r="M299" s="12">
        <f t="shared" si="44"/>
        <v>1085999.9999999995</v>
      </c>
      <c r="N299" s="12">
        <f t="shared" ref="N299" si="57">$O$270</f>
        <v>149999.99999999948</v>
      </c>
      <c r="O299" s="12">
        <f t="shared" si="46"/>
        <v>936000</v>
      </c>
      <c r="P299" s="12">
        <f t="shared" si="47"/>
        <v>62250000</v>
      </c>
    </row>
    <row r="300" spans="2:16" x14ac:dyDescent="0.25">
      <c r="B300" s="44">
        <v>26</v>
      </c>
      <c r="C300" s="12">
        <f t="shared" si="40"/>
        <v>923868.90863363119</v>
      </c>
      <c r="D300" s="12">
        <f t="shared" si="41"/>
        <v>-147182.09891584027</v>
      </c>
      <c r="E300" s="12">
        <f t="shared" si="42"/>
        <v>1071051.0075494715</v>
      </c>
      <c r="F300" s="12">
        <f t="shared" si="54"/>
        <v>71550582.602213949</v>
      </c>
      <c r="L300" s="44">
        <v>26</v>
      </c>
      <c r="M300" s="12">
        <f t="shared" si="44"/>
        <v>1083749.9999999995</v>
      </c>
      <c r="N300" s="12">
        <f t="shared" si="45"/>
        <v>149999.99999999948</v>
      </c>
      <c r="O300" s="12">
        <f t="shared" si="46"/>
        <v>933750</v>
      </c>
      <c r="P300" s="12">
        <f t="shared" si="47"/>
        <v>62100000</v>
      </c>
    </row>
    <row r="301" spans="2:16" x14ac:dyDescent="0.25">
      <c r="B301" s="44">
        <v>27</v>
      </c>
      <c r="C301" s="12">
        <f t="shared" si="40"/>
        <v>923868.90863363119</v>
      </c>
      <c r="D301" s="12">
        <f t="shared" si="41"/>
        <v>-149389.83039957797</v>
      </c>
      <c r="E301" s="12">
        <f t="shared" si="42"/>
        <v>1073258.7390332092</v>
      </c>
      <c r="F301" s="12">
        <f t="shared" si="54"/>
        <v>71699972.432613522</v>
      </c>
      <c r="L301" s="44">
        <v>27</v>
      </c>
      <c r="M301" s="12">
        <f t="shared" si="44"/>
        <v>1081499.9999999995</v>
      </c>
      <c r="N301" s="12">
        <f t="shared" si="45"/>
        <v>149999.99999999948</v>
      </c>
      <c r="O301" s="12">
        <f t="shared" si="46"/>
        <v>931500</v>
      </c>
      <c r="P301" s="12">
        <f t="shared" si="47"/>
        <v>61950000</v>
      </c>
    </row>
    <row r="302" spans="2:16" x14ac:dyDescent="0.25">
      <c r="B302" s="44">
        <v>28</v>
      </c>
      <c r="C302" s="12">
        <f t="shared" si="40"/>
        <v>923868.90863363119</v>
      </c>
      <c r="D302" s="12">
        <f t="shared" si="41"/>
        <v>-151630.6778555715</v>
      </c>
      <c r="E302" s="12">
        <f t="shared" si="42"/>
        <v>1075499.5864892027</v>
      </c>
      <c r="F302" s="12">
        <f t="shared" si="54"/>
        <v>71851603.110469088</v>
      </c>
      <c r="L302" s="44">
        <v>28</v>
      </c>
      <c r="M302" s="12">
        <f t="shared" si="44"/>
        <v>1079249.9999999995</v>
      </c>
      <c r="N302" s="12">
        <f t="shared" si="45"/>
        <v>149999.99999999948</v>
      </c>
      <c r="O302" s="12">
        <f t="shared" si="46"/>
        <v>929250</v>
      </c>
      <c r="P302" s="12">
        <f t="shared" si="47"/>
        <v>61800000</v>
      </c>
    </row>
    <row r="303" spans="2:16" x14ac:dyDescent="0.25">
      <c r="B303" s="44">
        <v>29</v>
      </c>
      <c r="C303" s="12">
        <f t="shared" si="40"/>
        <v>923868.90863363119</v>
      </c>
      <c r="D303" s="12">
        <f t="shared" si="41"/>
        <v>-153905.1380234051</v>
      </c>
      <c r="E303" s="12">
        <f t="shared" si="42"/>
        <v>1077774.0466570363</v>
      </c>
      <c r="F303" s="12">
        <f t="shared" si="54"/>
        <v>72005508.248492494</v>
      </c>
      <c r="L303" s="44">
        <v>29</v>
      </c>
      <c r="M303" s="12">
        <f t="shared" si="44"/>
        <v>1076999.9999999995</v>
      </c>
      <c r="N303" s="12">
        <f t="shared" si="45"/>
        <v>149999.99999999948</v>
      </c>
      <c r="O303" s="12">
        <f t="shared" si="46"/>
        <v>927000</v>
      </c>
      <c r="P303" s="12">
        <f t="shared" si="47"/>
        <v>61650000</v>
      </c>
    </row>
    <row r="304" spans="2:16" x14ac:dyDescent="0.25">
      <c r="B304" s="44">
        <v>30</v>
      </c>
      <c r="C304" s="12">
        <f t="shared" si="40"/>
        <v>923868.90863363119</v>
      </c>
      <c r="D304" s="12">
        <f t="shared" ref="D304" si="58">C304-E304+3000000</f>
        <v>2843786.2849062439</v>
      </c>
      <c r="E304" s="12">
        <f t="shared" si="42"/>
        <v>1080082.6237273873</v>
      </c>
      <c r="F304" s="12">
        <f t="shared" si="54"/>
        <v>69161721.963586256</v>
      </c>
      <c r="L304" s="44">
        <v>30</v>
      </c>
      <c r="M304" s="12">
        <f t="shared" si="44"/>
        <v>4074749.9999999995</v>
      </c>
      <c r="N304" s="12">
        <f t="shared" ref="N304" si="59">$O$270+$O$269</f>
        <v>3149999.9999999995</v>
      </c>
      <c r="O304" s="12">
        <f t="shared" si="46"/>
        <v>924750</v>
      </c>
      <c r="P304" s="12">
        <f t="shared" si="47"/>
        <v>58500000</v>
      </c>
    </row>
    <row r="305" spans="2:16" x14ac:dyDescent="0.25">
      <c r="B305" s="44">
        <v>31</v>
      </c>
      <c r="C305" s="12">
        <f t="shared" si="40"/>
        <v>923868.90863363119</v>
      </c>
      <c r="D305" s="12">
        <f t="shared" si="41"/>
        <v>-113556.92082016263</v>
      </c>
      <c r="E305" s="12">
        <f t="shared" si="42"/>
        <v>1037425.8294537938</v>
      </c>
      <c r="F305" s="12">
        <f t="shared" si="54"/>
        <v>69275278.884406418</v>
      </c>
      <c r="L305" s="44">
        <v>31</v>
      </c>
      <c r="M305" s="12">
        <f t="shared" si="44"/>
        <v>1027499.9999999995</v>
      </c>
      <c r="N305" s="12">
        <f t="shared" ref="N305" si="60">$O$270</f>
        <v>149999.99999999948</v>
      </c>
      <c r="O305" s="12">
        <f t="shared" si="46"/>
        <v>877500</v>
      </c>
      <c r="P305" s="12">
        <f t="shared" si="47"/>
        <v>58350000</v>
      </c>
    </row>
    <row r="306" spans="2:16" x14ac:dyDescent="0.25">
      <c r="B306" s="44">
        <v>32</v>
      </c>
      <c r="C306" s="12">
        <f t="shared" si="40"/>
        <v>923868.90863363119</v>
      </c>
      <c r="D306" s="12">
        <f t="shared" si="41"/>
        <v>-115260.27463246509</v>
      </c>
      <c r="E306" s="12">
        <f t="shared" si="42"/>
        <v>1039129.1832660963</v>
      </c>
      <c r="F306" s="12">
        <f t="shared" si="54"/>
        <v>69390539.159038886</v>
      </c>
      <c r="L306" s="44">
        <v>32</v>
      </c>
      <c r="M306" s="12">
        <f t="shared" si="44"/>
        <v>1025249.9999999995</v>
      </c>
      <c r="N306" s="12">
        <f t="shared" si="45"/>
        <v>149999.99999999948</v>
      </c>
      <c r="O306" s="12">
        <f t="shared" si="46"/>
        <v>875250</v>
      </c>
      <c r="P306" s="12">
        <f t="shared" si="47"/>
        <v>58200000</v>
      </c>
    </row>
    <row r="307" spans="2:16" x14ac:dyDescent="0.25">
      <c r="B307" s="44">
        <v>33</v>
      </c>
      <c r="C307" s="12">
        <f t="shared" si="40"/>
        <v>923868.90863363119</v>
      </c>
      <c r="D307" s="12">
        <f t="shared" si="41"/>
        <v>-116989.17875195201</v>
      </c>
      <c r="E307" s="12">
        <f t="shared" si="42"/>
        <v>1040858.0873855832</v>
      </c>
      <c r="F307" s="12">
        <f t="shared" si="54"/>
        <v>69507528.337790832</v>
      </c>
      <c r="L307" s="44">
        <v>33</v>
      </c>
      <c r="M307" s="12">
        <f t="shared" si="44"/>
        <v>1022999.9999999995</v>
      </c>
      <c r="N307" s="12">
        <f t="shared" si="45"/>
        <v>149999.99999999948</v>
      </c>
      <c r="O307" s="12">
        <f t="shared" si="46"/>
        <v>873000</v>
      </c>
      <c r="P307" s="12">
        <f t="shared" si="47"/>
        <v>58050000</v>
      </c>
    </row>
    <row r="308" spans="2:16" x14ac:dyDescent="0.25">
      <c r="B308" s="44">
        <v>34</v>
      </c>
      <c r="C308" s="12">
        <f t="shared" si="40"/>
        <v>923868.90863363119</v>
      </c>
      <c r="D308" s="12">
        <f t="shared" si="41"/>
        <v>-118744.0164332313</v>
      </c>
      <c r="E308" s="12">
        <f t="shared" si="42"/>
        <v>1042612.9250668625</v>
      </c>
      <c r="F308" s="12">
        <f t="shared" si="54"/>
        <v>69626272.354224056</v>
      </c>
      <c r="L308" s="44">
        <v>34</v>
      </c>
      <c r="M308" s="12">
        <f t="shared" si="44"/>
        <v>1020749.9999999995</v>
      </c>
      <c r="N308" s="12">
        <f t="shared" si="45"/>
        <v>149999.99999999948</v>
      </c>
      <c r="O308" s="12">
        <f t="shared" si="46"/>
        <v>870750</v>
      </c>
      <c r="P308" s="12">
        <f t="shared" si="47"/>
        <v>57900000</v>
      </c>
    </row>
    <row r="309" spans="2:16" x14ac:dyDescent="0.25">
      <c r="B309" s="44">
        <v>35</v>
      </c>
      <c r="C309" s="12">
        <f t="shared" si="40"/>
        <v>923868.90863363119</v>
      </c>
      <c r="D309" s="12">
        <f t="shared" si="41"/>
        <v>-120525.1766797296</v>
      </c>
      <c r="E309" s="12">
        <f>F308*$C$7</f>
        <v>1044394.0853133608</v>
      </c>
      <c r="F309" s="12">
        <f>F308-D309</f>
        <v>69746797.530903786</v>
      </c>
      <c r="L309" s="44">
        <v>35</v>
      </c>
      <c r="M309" s="12">
        <f t="shared" si="44"/>
        <v>1018499.9999999995</v>
      </c>
      <c r="N309" s="12">
        <f t="shared" si="45"/>
        <v>149999.99999999948</v>
      </c>
      <c r="O309" s="12">
        <f t="shared" si="46"/>
        <v>868500</v>
      </c>
      <c r="P309" s="12">
        <f t="shared" si="47"/>
        <v>57750000</v>
      </c>
    </row>
    <row r="310" spans="2:16" x14ac:dyDescent="0.25">
      <c r="B310" s="44">
        <v>36</v>
      </c>
      <c r="C310" s="12">
        <f t="shared" si="40"/>
        <v>923868.90863363119</v>
      </c>
      <c r="D310" s="12">
        <f t="shared" ref="D310" si="61">C310-E310+3000000</f>
        <v>2877666.9456700743</v>
      </c>
      <c r="E310" s="12">
        <f t="shared" si="42"/>
        <v>1046201.9629635568</v>
      </c>
      <c r="F310" s="12">
        <f t="shared" ref="F310:F319" si="62">F309-D310</f>
        <v>66869130.585233711</v>
      </c>
      <c r="L310" s="44">
        <v>36</v>
      </c>
      <c r="M310" s="12">
        <f t="shared" si="44"/>
        <v>4016249.9999999995</v>
      </c>
      <c r="N310" s="12">
        <f t="shared" ref="N310" si="63">$O$270+$O$269</f>
        <v>3149999.9999999995</v>
      </c>
      <c r="O310" s="12">
        <f t="shared" si="46"/>
        <v>866250</v>
      </c>
      <c r="P310" s="12">
        <f t="shared" si="47"/>
        <v>54600000</v>
      </c>
    </row>
    <row r="311" spans="2:16" x14ac:dyDescent="0.25">
      <c r="B311" s="44">
        <v>37</v>
      </c>
      <c r="C311" s="12">
        <f t="shared" si="40"/>
        <v>923868.90863363119</v>
      </c>
      <c r="D311" s="12">
        <f t="shared" ref="D311" si="64">C311-E311</f>
        <v>-79168.050144874491</v>
      </c>
      <c r="E311" s="12">
        <f t="shared" si="42"/>
        <v>1003036.9587785057</v>
      </c>
      <c r="F311" s="12">
        <f t="shared" si="62"/>
        <v>66948298.635378584</v>
      </c>
      <c r="L311" s="44">
        <v>37</v>
      </c>
      <c r="M311" s="12">
        <f t="shared" si="44"/>
        <v>968999.99999999953</v>
      </c>
      <c r="N311" s="12">
        <f t="shared" ref="N311" si="65">$O$270</f>
        <v>149999.99999999948</v>
      </c>
      <c r="O311" s="12">
        <f t="shared" si="46"/>
        <v>819000</v>
      </c>
      <c r="P311" s="12">
        <f t="shared" si="47"/>
        <v>54450000</v>
      </c>
    </row>
    <row r="312" spans="2:16" x14ac:dyDescent="0.25">
      <c r="B312" s="44">
        <v>38</v>
      </c>
      <c r="C312" s="12">
        <f t="shared" si="40"/>
        <v>923868.90863363119</v>
      </c>
      <c r="D312" s="12">
        <f t="shared" si="41"/>
        <v>-80355.570897047524</v>
      </c>
      <c r="E312" s="12">
        <f t="shared" si="42"/>
        <v>1004224.4795306787</v>
      </c>
      <c r="F312" s="12">
        <f t="shared" si="62"/>
        <v>67028654.206275634</v>
      </c>
      <c r="L312" s="44">
        <v>38</v>
      </c>
      <c r="M312" s="12">
        <f t="shared" si="44"/>
        <v>966749.99999999953</v>
      </c>
      <c r="N312" s="12">
        <f t="shared" si="45"/>
        <v>149999.99999999948</v>
      </c>
      <c r="O312" s="12">
        <f t="shared" si="46"/>
        <v>816750</v>
      </c>
      <c r="P312" s="12">
        <f t="shared" si="47"/>
        <v>54300000</v>
      </c>
    </row>
    <row r="313" spans="2:16" x14ac:dyDescent="0.25">
      <c r="B313" s="44">
        <v>39</v>
      </c>
      <c r="C313" s="12">
        <f t="shared" si="40"/>
        <v>923868.90863363119</v>
      </c>
      <c r="D313" s="12">
        <f t="shared" si="41"/>
        <v>-81560.904460503254</v>
      </c>
      <c r="E313" s="12">
        <f t="shared" si="42"/>
        <v>1005429.8130941344</v>
      </c>
      <c r="F313" s="12">
        <f t="shared" si="62"/>
        <v>67110215.110736132</v>
      </c>
      <c r="L313" s="44">
        <v>39</v>
      </c>
      <c r="M313" s="12">
        <f t="shared" si="44"/>
        <v>964499.99999999953</v>
      </c>
      <c r="N313" s="12">
        <f t="shared" si="45"/>
        <v>149999.99999999948</v>
      </c>
      <c r="O313" s="12">
        <f t="shared" si="46"/>
        <v>814500</v>
      </c>
      <c r="P313" s="12">
        <f t="shared" si="47"/>
        <v>54150000</v>
      </c>
    </row>
    <row r="314" spans="2:16" x14ac:dyDescent="0.25">
      <c r="B314" s="44">
        <v>40</v>
      </c>
      <c r="C314" s="12">
        <f t="shared" si="40"/>
        <v>923868.90863363119</v>
      </c>
      <c r="D314" s="12">
        <f t="shared" si="41"/>
        <v>-82784.318027410773</v>
      </c>
      <c r="E314" s="12">
        <f t="shared" si="42"/>
        <v>1006653.226661042</v>
      </c>
      <c r="F314" s="12">
        <f t="shared" si="62"/>
        <v>67192999.428763539</v>
      </c>
      <c r="L314" s="44">
        <v>40</v>
      </c>
      <c r="M314" s="12">
        <f t="shared" si="44"/>
        <v>962249.99999999953</v>
      </c>
      <c r="N314" s="12">
        <f t="shared" si="45"/>
        <v>149999.99999999948</v>
      </c>
      <c r="O314" s="12">
        <f t="shared" si="46"/>
        <v>812250</v>
      </c>
      <c r="P314" s="12">
        <f t="shared" si="47"/>
        <v>54000000</v>
      </c>
    </row>
    <row r="315" spans="2:16" x14ac:dyDescent="0.25">
      <c r="B315" s="44">
        <v>41</v>
      </c>
      <c r="C315" s="12">
        <f t="shared" si="40"/>
        <v>923868.90863363119</v>
      </c>
      <c r="D315" s="12">
        <f t="shared" si="41"/>
        <v>-84026.082797821844</v>
      </c>
      <c r="E315" s="12">
        <f t="shared" si="42"/>
        <v>1007894.991431453</v>
      </c>
      <c r="F315" s="12">
        <f t="shared" si="62"/>
        <v>67277025.511561364</v>
      </c>
      <c r="L315" s="44">
        <v>41</v>
      </c>
      <c r="M315" s="12">
        <f t="shared" si="44"/>
        <v>959999.99999999953</v>
      </c>
      <c r="N315" s="12">
        <f t="shared" si="45"/>
        <v>149999.99999999948</v>
      </c>
      <c r="O315" s="12">
        <f t="shared" si="46"/>
        <v>810000</v>
      </c>
      <c r="P315" s="12">
        <f t="shared" si="47"/>
        <v>53850000</v>
      </c>
    </row>
    <row r="316" spans="2:16" x14ac:dyDescent="0.25">
      <c r="B316" s="44">
        <v>42</v>
      </c>
      <c r="C316" s="12">
        <f t="shared" si="40"/>
        <v>923868.90863363119</v>
      </c>
      <c r="D316" s="12">
        <f t="shared" ref="D316" si="66">C316-E316+3000000</f>
        <v>2914713.5259602107</v>
      </c>
      <c r="E316" s="12">
        <f t="shared" si="42"/>
        <v>1009155.3826734205</v>
      </c>
      <c r="F316" s="12">
        <f t="shared" si="62"/>
        <v>64362311.985601157</v>
      </c>
      <c r="L316" s="44">
        <v>42</v>
      </c>
      <c r="M316" s="12">
        <f t="shared" si="44"/>
        <v>3957749.9999999995</v>
      </c>
      <c r="N316" s="12">
        <f t="shared" ref="N316" si="67">$O$270+$O$269</f>
        <v>3149999.9999999995</v>
      </c>
      <c r="O316" s="12">
        <f t="shared" si="46"/>
        <v>807750</v>
      </c>
      <c r="P316" s="12">
        <f t="shared" si="47"/>
        <v>50700000</v>
      </c>
    </row>
    <row r="317" spans="2:16" x14ac:dyDescent="0.25">
      <c r="B317" s="44">
        <v>43</v>
      </c>
      <c r="C317" s="12">
        <f t="shared" si="40"/>
        <v>923868.90863363119</v>
      </c>
      <c r="D317" s="12">
        <f t="shared" si="41"/>
        <v>-41565.771150386077</v>
      </c>
      <c r="E317" s="12">
        <f t="shared" si="42"/>
        <v>965434.67978401727</v>
      </c>
      <c r="F317" s="12">
        <f t="shared" si="62"/>
        <v>64403877.756751545</v>
      </c>
      <c r="L317" s="44">
        <v>43</v>
      </c>
      <c r="M317" s="12">
        <f t="shared" si="44"/>
        <v>910499.99999999953</v>
      </c>
      <c r="N317" s="12">
        <f t="shared" ref="N317" si="68">$O$270</f>
        <v>149999.99999999948</v>
      </c>
      <c r="O317" s="12">
        <f t="shared" si="46"/>
        <v>760500</v>
      </c>
      <c r="P317" s="12">
        <f t="shared" si="47"/>
        <v>50550000</v>
      </c>
    </row>
    <row r="318" spans="2:16" x14ac:dyDescent="0.25">
      <c r="B318" s="44">
        <v>44</v>
      </c>
      <c r="C318" s="12">
        <f t="shared" si="40"/>
        <v>923868.90863363119</v>
      </c>
      <c r="D318" s="12">
        <f t="shared" si="41"/>
        <v>-42189.257717642002</v>
      </c>
      <c r="E318" s="12">
        <f t="shared" si="42"/>
        <v>966058.16635127319</v>
      </c>
      <c r="F318" s="12">
        <f t="shared" si="62"/>
        <v>64446067.014469184</v>
      </c>
      <c r="L318" s="44">
        <v>44</v>
      </c>
      <c r="M318" s="12">
        <f t="shared" si="44"/>
        <v>908249.99999999953</v>
      </c>
      <c r="N318" s="12">
        <f t="shared" si="45"/>
        <v>149999.99999999948</v>
      </c>
      <c r="O318" s="12">
        <f t="shared" si="46"/>
        <v>758250</v>
      </c>
      <c r="P318" s="12">
        <f t="shared" si="47"/>
        <v>50400000</v>
      </c>
    </row>
    <row r="319" spans="2:16" x14ac:dyDescent="0.25">
      <c r="B319" s="44">
        <v>45</v>
      </c>
      <c r="C319" s="12">
        <f t="shared" si="40"/>
        <v>923868.90863363119</v>
      </c>
      <c r="D319" s="12">
        <f t="shared" si="41"/>
        <v>-42822.096583406557</v>
      </c>
      <c r="E319" s="12">
        <f t="shared" si="42"/>
        <v>966691.00521703775</v>
      </c>
      <c r="F319" s="12">
        <f t="shared" si="62"/>
        <v>64488889.111052588</v>
      </c>
      <c r="L319" s="44">
        <v>45</v>
      </c>
      <c r="M319" s="12">
        <f t="shared" si="44"/>
        <v>905999.99999999953</v>
      </c>
      <c r="N319" s="12">
        <f t="shared" si="45"/>
        <v>149999.99999999948</v>
      </c>
      <c r="O319" s="12">
        <f t="shared" si="46"/>
        <v>756000</v>
      </c>
      <c r="P319" s="12">
        <f t="shared" si="47"/>
        <v>50250000</v>
      </c>
    </row>
    <row r="320" spans="2:16" x14ac:dyDescent="0.25">
      <c r="B320" s="44">
        <v>46</v>
      </c>
      <c r="C320" s="12">
        <f t="shared" si="40"/>
        <v>923868.90863363119</v>
      </c>
      <c r="D320" s="12">
        <f t="shared" si="41"/>
        <v>-43464.428032157593</v>
      </c>
      <c r="E320" s="12">
        <f>F319*$C$7</f>
        <v>967333.33666578878</v>
      </c>
      <c r="F320" s="12">
        <f>F319-D320</f>
        <v>64532353.539084747</v>
      </c>
      <c r="L320" s="44">
        <v>46</v>
      </c>
      <c r="M320" s="12">
        <f t="shared" si="44"/>
        <v>903749.99999999953</v>
      </c>
      <c r="N320" s="12">
        <f t="shared" si="45"/>
        <v>149999.99999999948</v>
      </c>
      <c r="O320" s="12">
        <f t="shared" si="46"/>
        <v>753750</v>
      </c>
      <c r="P320" s="12">
        <f t="shared" si="47"/>
        <v>50100000</v>
      </c>
    </row>
    <row r="321" spans="2:16" x14ac:dyDescent="0.25">
      <c r="B321" s="44">
        <v>47</v>
      </c>
      <c r="C321" s="12">
        <f t="shared" si="40"/>
        <v>923868.90863363119</v>
      </c>
      <c r="D321" s="12">
        <f t="shared" si="41"/>
        <v>-44116.394452639972</v>
      </c>
      <c r="E321" s="12">
        <f t="shared" si="42"/>
        <v>967985.30308627116</v>
      </c>
      <c r="F321" s="12">
        <f t="shared" ref="F321:F330" si="69">F320-D321</f>
        <v>64576469.933537386</v>
      </c>
      <c r="L321" s="44">
        <v>47</v>
      </c>
      <c r="M321" s="12">
        <f t="shared" si="44"/>
        <v>901499.99999999953</v>
      </c>
      <c r="N321" s="12">
        <f t="shared" si="45"/>
        <v>149999.99999999948</v>
      </c>
      <c r="O321" s="12">
        <f t="shared" si="46"/>
        <v>751500</v>
      </c>
      <c r="P321" s="12">
        <f t="shared" si="47"/>
        <v>49950000</v>
      </c>
    </row>
    <row r="322" spans="2:16" x14ac:dyDescent="0.25">
      <c r="B322" s="44">
        <v>48</v>
      </c>
      <c r="C322" s="12">
        <f t="shared" si="40"/>
        <v>923868.90863363119</v>
      </c>
      <c r="D322" s="12">
        <f t="shared" ref="D322" si="70">C322-E322+3000000</f>
        <v>2955221.8596305703</v>
      </c>
      <c r="E322" s="12">
        <f>F321*$C$7</f>
        <v>968647.04900306079</v>
      </c>
      <c r="F322" s="12">
        <f>F321-D322</f>
        <v>61621248.073906817</v>
      </c>
      <c r="L322" s="44">
        <v>48</v>
      </c>
      <c r="M322" s="12">
        <f t="shared" si="44"/>
        <v>3899249.9999999995</v>
      </c>
      <c r="N322" s="12">
        <f t="shared" ref="N322" si="71">$O$270+$O$269</f>
        <v>3149999.9999999995</v>
      </c>
      <c r="O322" s="12">
        <f t="shared" si="46"/>
        <v>749250</v>
      </c>
      <c r="P322" s="12">
        <f t="shared" si="47"/>
        <v>46800000</v>
      </c>
    </row>
    <row r="323" spans="2:16" x14ac:dyDescent="0.25">
      <c r="B323" s="44">
        <v>49</v>
      </c>
      <c r="C323" s="12">
        <f t="shared" si="40"/>
        <v>923868.90863363119</v>
      </c>
      <c r="D323" s="12">
        <f t="shared" si="41"/>
        <v>-449.81247497105505</v>
      </c>
      <c r="E323" s="12">
        <f t="shared" si="42"/>
        <v>924318.72110860224</v>
      </c>
      <c r="F323" s="12">
        <f t="shared" si="69"/>
        <v>61621697.88638179</v>
      </c>
      <c r="L323" s="44">
        <v>49</v>
      </c>
      <c r="M323" s="12">
        <f t="shared" si="44"/>
        <v>851999.99999999953</v>
      </c>
      <c r="N323" s="12">
        <f t="shared" ref="N323" si="72">$O$270</f>
        <v>149999.99999999948</v>
      </c>
      <c r="O323" s="12">
        <f t="shared" si="46"/>
        <v>702000</v>
      </c>
      <c r="P323" s="12">
        <f t="shared" si="47"/>
        <v>46650000</v>
      </c>
    </row>
    <row r="324" spans="2:16" x14ac:dyDescent="0.25">
      <c r="B324" s="44">
        <v>50</v>
      </c>
      <c r="C324" s="12">
        <f t="shared" si="40"/>
        <v>923868.90863363119</v>
      </c>
      <c r="D324" s="12">
        <f>C324-E324</f>
        <v>-456.5596620956203</v>
      </c>
      <c r="E324" s="12">
        <f t="shared" si="42"/>
        <v>924325.46829572681</v>
      </c>
      <c r="F324" s="12">
        <f t="shared" si="69"/>
        <v>61622154.446043886</v>
      </c>
      <c r="L324" s="44">
        <v>50</v>
      </c>
      <c r="M324" s="12">
        <f t="shared" si="44"/>
        <v>849749.99999999953</v>
      </c>
      <c r="N324" s="12">
        <f t="shared" si="45"/>
        <v>149999.99999999948</v>
      </c>
      <c r="O324" s="12">
        <f t="shared" si="46"/>
        <v>699750</v>
      </c>
      <c r="P324" s="12">
        <f t="shared" si="47"/>
        <v>46500000</v>
      </c>
    </row>
    <row r="325" spans="2:16" x14ac:dyDescent="0.25">
      <c r="B325" s="44">
        <v>51</v>
      </c>
      <c r="C325" s="12">
        <f t="shared" si="40"/>
        <v>923868.90863363119</v>
      </c>
      <c r="D325" s="12">
        <f t="shared" si="41"/>
        <v>-463.40805702703074</v>
      </c>
      <c r="E325" s="12">
        <f t="shared" si="42"/>
        <v>924332.31669065822</v>
      </c>
      <c r="F325" s="12">
        <f t="shared" si="69"/>
        <v>61622617.854100913</v>
      </c>
      <c r="L325" s="44">
        <v>51</v>
      </c>
      <c r="M325" s="12">
        <f t="shared" si="44"/>
        <v>847499.99999999953</v>
      </c>
      <c r="N325" s="12">
        <f t="shared" si="45"/>
        <v>149999.99999999948</v>
      </c>
      <c r="O325" s="12">
        <f t="shared" si="46"/>
        <v>697500</v>
      </c>
      <c r="P325" s="12">
        <f t="shared" si="47"/>
        <v>46350000</v>
      </c>
    </row>
    <row r="326" spans="2:16" x14ac:dyDescent="0.25">
      <c r="B326" s="44">
        <v>52</v>
      </c>
      <c r="C326" s="12">
        <f t="shared" si="40"/>
        <v>923868.90863363119</v>
      </c>
      <c r="D326" s="12">
        <f t="shared" si="41"/>
        <v>-470.35917788243387</v>
      </c>
      <c r="E326" s="12">
        <f t="shared" si="42"/>
        <v>924339.26781151362</v>
      </c>
      <c r="F326" s="12">
        <f t="shared" si="69"/>
        <v>61623088.213278793</v>
      </c>
      <c r="L326" s="44">
        <v>52</v>
      </c>
      <c r="M326" s="12">
        <f t="shared" si="44"/>
        <v>845249.99999999953</v>
      </c>
      <c r="N326" s="12">
        <f t="shared" si="45"/>
        <v>149999.99999999948</v>
      </c>
      <c r="O326" s="12">
        <f t="shared" si="46"/>
        <v>695250</v>
      </c>
      <c r="P326" s="12">
        <f t="shared" si="47"/>
        <v>46200000</v>
      </c>
    </row>
    <row r="327" spans="2:16" x14ac:dyDescent="0.25">
      <c r="B327" s="44">
        <v>53</v>
      </c>
      <c r="C327" s="12">
        <f t="shared" si="40"/>
        <v>923868.90863363119</v>
      </c>
      <c r="D327" s="12">
        <f t="shared" si="41"/>
        <v>-477.41456555062905</v>
      </c>
      <c r="E327" s="12">
        <f t="shared" si="42"/>
        <v>924346.32319918182</v>
      </c>
      <c r="F327" s="12">
        <f t="shared" si="69"/>
        <v>61623565.627844341</v>
      </c>
      <c r="L327" s="44">
        <v>53</v>
      </c>
      <c r="M327" s="12">
        <f t="shared" si="44"/>
        <v>842999.99999999953</v>
      </c>
      <c r="N327" s="12">
        <f t="shared" si="45"/>
        <v>149999.99999999948</v>
      </c>
      <c r="O327" s="12">
        <f t="shared" si="46"/>
        <v>693000</v>
      </c>
      <c r="P327" s="12">
        <f t="shared" si="47"/>
        <v>46050000</v>
      </c>
    </row>
    <row r="328" spans="2:16" x14ac:dyDescent="0.25">
      <c r="B328" s="44">
        <v>54</v>
      </c>
      <c r="C328" s="12">
        <f t="shared" si="40"/>
        <v>923868.90863363119</v>
      </c>
      <c r="D328" s="12">
        <f t="shared" ref="D328" si="73">C328-E328+3000000</f>
        <v>2999515.4242159659</v>
      </c>
      <c r="E328" s="12">
        <f t="shared" si="42"/>
        <v>924353.48441766505</v>
      </c>
      <c r="F328" s="12">
        <f t="shared" si="69"/>
        <v>58624050.203628376</v>
      </c>
      <c r="L328" s="44">
        <v>54</v>
      </c>
      <c r="M328" s="12">
        <f t="shared" si="44"/>
        <v>3840749.9999999995</v>
      </c>
      <c r="N328" s="12">
        <f t="shared" ref="N328" si="74">$O$270+$O$269</f>
        <v>3149999.9999999995</v>
      </c>
      <c r="O328" s="12">
        <f t="shared" si="46"/>
        <v>690750</v>
      </c>
      <c r="P328" s="12">
        <f t="shared" si="47"/>
        <v>42900000</v>
      </c>
    </row>
    <row r="329" spans="2:16" x14ac:dyDescent="0.25">
      <c r="B329" s="44">
        <v>55</v>
      </c>
      <c r="C329" s="12">
        <f t="shared" si="40"/>
        <v>923868.90863363119</v>
      </c>
      <c r="D329" s="12">
        <f t="shared" ref="D329" si="75">C329-E329</f>
        <v>44508.155579205602</v>
      </c>
      <c r="E329" s="12">
        <f t="shared" si="42"/>
        <v>879360.75305442559</v>
      </c>
      <c r="F329" s="12">
        <f t="shared" si="69"/>
        <v>58579542.048049167</v>
      </c>
      <c r="L329" s="44">
        <v>55</v>
      </c>
      <c r="M329" s="12">
        <f t="shared" si="44"/>
        <v>793499.99999999953</v>
      </c>
      <c r="N329" s="12">
        <f t="shared" ref="N329" si="76">$O$270</f>
        <v>149999.99999999948</v>
      </c>
      <c r="O329" s="12">
        <f t="shared" si="46"/>
        <v>643500</v>
      </c>
      <c r="P329" s="12">
        <f t="shared" si="47"/>
        <v>42750000</v>
      </c>
    </row>
    <row r="330" spans="2:16" x14ac:dyDescent="0.25">
      <c r="B330" s="44">
        <v>56</v>
      </c>
      <c r="C330" s="12">
        <f t="shared" si="40"/>
        <v>923868.90863363119</v>
      </c>
      <c r="D330" s="12">
        <f t="shared" si="41"/>
        <v>45175.777912893682</v>
      </c>
      <c r="E330" s="12">
        <f t="shared" si="42"/>
        <v>878693.13072073751</v>
      </c>
      <c r="F330" s="12">
        <f t="shared" si="69"/>
        <v>58534366.270136274</v>
      </c>
      <c r="L330" s="44">
        <v>56</v>
      </c>
      <c r="M330" s="12">
        <f t="shared" si="44"/>
        <v>791249.99999999953</v>
      </c>
      <c r="N330" s="12">
        <f t="shared" si="45"/>
        <v>149999.99999999948</v>
      </c>
      <c r="O330" s="12">
        <f t="shared" si="46"/>
        <v>641250</v>
      </c>
      <c r="P330" s="12">
        <f t="shared" si="47"/>
        <v>42600000</v>
      </c>
    </row>
    <row r="331" spans="2:16" x14ac:dyDescent="0.25">
      <c r="B331" s="44">
        <v>57</v>
      </c>
      <c r="C331" s="12">
        <f t="shared" si="40"/>
        <v>923868.90863363119</v>
      </c>
      <c r="D331" s="12">
        <f t="shared" si="41"/>
        <v>45853.414581587072</v>
      </c>
      <c r="E331" s="12">
        <f>F330*$C$7</f>
        <v>878015.49405204412</v>
      </c>
      <c r="F331" s="12">
        <f>F330-D331</f>
        <v>58488512.855554685</v>
      </c>
      <c r="L331" s="44">
        <v>57</v>
      </c>
      <c r="M331" s="12">
        <f t="shared" si="44"/>
        <v>788999.99999999953</v>
      </c>
      <c r="N331" s="12">
        <f t="shared" si="45"/>
        <v>149999.99999999948</v>
      </c>
      <c r="O331" s="12">
        <f t="shared" si="46"/>
        <v>639000</v>
      </c>
      <c r="P331" s="12">
        <f t="shared" si="47"/>
        <v>42450000</v>
      </c>
    </row>
    <row r="332" spans="2:16" x14ac:dyDescent="0.25">
      <c r="B332" s="44">
        <v>58</v>
      </c>
      <c r="C332" s="12">
        <f t="shared" si="40"/>
        <v>923868.90863363119</v>
      </c>
      <c r="D332" s="12">
        <f t="shared" si="41"/>
        <v>46541.215800310951</v>
      </c>
      <c r="E332" s="12">
        <f t="shared" si="42"/>
        <v>877327.69283332024</v>
      </c>
      <c r="F332" s="12">
        <f t="shared" ref="F332:F338" si="77">F331-D332</f>
        <v>58441971.639754377</v>
      </c>
      <c r="L332" s="44">
        <v>58</v>
      </c>
      <c r="M332" s="12">
        <f t="shared" si="44"/>
        <v>786749.99999999953</v>
      </c>
      <c r="N332" s="12">
        <f t="shared" si="45"/>
        <v>149999.99999999948</v>
      </c>
      <c r="O332" s="12">
        <f t="shared" si="46"/>
        <v>636750</v>
      </c>
      <c r="P332" s="12">
        <f t="shared" si="47"/>
        <v>42300000</v>
      </c>
    </row>
    <row r="333" spans="2:16" x14ac:dyDescent="0.25">
      <c r="B333" s="44">
        <v>59</v>
      </c>
      <c r="C333" s="12">
        <f t="shared" si="40"/>
        <v>923868.90863363119</v>
      </c>
      <c r="D333" s="12">
        <f t="shared" si="41"/>
        <v>47239.334037315566</v>
      </c>
      <c r="E333" s="12">
        <f t="shared" si="42"/>
        <v>876629.57459631562</v>
      </c>
      <c r="F333" s="12">
        <f t="shared" si="77"/>
        <v>58394732.305717058</v>
      </c>
      <c r="L333" s="44">
        <v>59</v>
      </c>
      <c r="M333" s="12">
        <f t="shared" si="44"/>
        <v>784499.99999999953</v>
      </c>
      <c r="N333" s="12">
        <f t="shared" si="45"/>
        <v>149999.99999999948</v>
      </c>
      <c r="O333" s="12">
        <f t="shared" si="46"/>
        <v>634500</v>
      </c>
      <c r="P333" s="12">
        <f t="shared" si="47"/>
        <v>42150000</v>
      </c>
    </row>
    <row r="334" spans="2:16" x14ac:dyDescent="0.25">
      <c r="B334" s="44">
        <v>60</v>
      </c>
      <c r="C334" s="12">
        <f t="shared" si="40"/>
        <v>923868.90863363119</v>
      </c>
      <c r="D334" s="12">
        <f t="shared" ref="D334" si="78">C334-E334+3000000</f>
        <v>3047947.9240478752</v>
      </c>
      <c r="E334" s="12">
        <f t="shared" si="42"/>
        <v>875920.98458575585</v>
      </c>
      <c r="F334" s="12">
        <f t="shared" si="77"/>
        <v>55346784.381669186</v>
      </c>
      <c r="L334" s="44">
        <v>60</v>
      </c>
      <c r="M334" s="12">
        <f t="shared" si="44"/>
        <v>3782249.9999999995</v>
      </c>
      <c r="N334" s="12">
        <f t="shared" ref="N334" si="79">$O$270+$O$269</f>
        <v>3149999.9999999995</v>
      </c>
      <c r="O334" s="12">
        <f t="shared" si="46"/>
        <v>632250</v>
      </c>
      <c r="P334" s="12">
        <f t="shared" si="47"/>
        <v>39000000</v>
      </c>
    </row>
    <row r="335" spans="2:16" x14ac:dyDescent="0.25">
      <c r="B335" s="44">
        <v>61</v>
      </c>
      <c r="C335" s="12">
        <f t="shared" si="40"/>
        <v>923868.90863363119</v>
      </c>
      <c r="D335" s="12">
        <f t="shared" si="41"/>
        <v>93667.142908593407</v>
      </c>
      <c r="E335" s="12">
        <f t="shared" si="42"/>
        <v>830201.76572503778</v>
      </c>
      <c r="F335" s="12">
        <f t="shared" si="77"/>
        <v>55253117.238760591</v>
      </c>
      <c r="L335" s="44">
        <v>61</v>
      </c>
      <c r="M335" s="12">
        <f t="shared" si="44"/>
        <v>734999.99999999953</v>
      </c>
      <c r="N335" s="12">
        <f t="shared" ref="N335" si="80">$O$270</f>
        <v>149999.99999999948</v>
      </c>
      <c r="O335" s="12">
        <f t="shared" si="46"/>
        <v>585000</v>
      </c>
      <c r="P335" s="12">
        <f t="shared" si="47"/>
        <v>38850000</v>
      </c>
    </row>
    <row r="336" spans="2:16" x14ac:dyDescent="0.25">
      <c r="B336" s="44">
        <v>62</v>
      </c>
      <c r="C336" s="12">
        <f t="shared" si="40"/>
        <v>923868.90863363119</v>
      </c>
      <c r="D336" s="12">
        <f t="shared" si="41"/>
        <v>95072.150052222307</v>
      </c>
      <c r="E336" s="12">
        <f t="shared" si="42"/>
        <v>828796.75858140888</v>
      </c>
      <c r="F336" s="12">
        <f t="shared" si="77"/>
        <v>55158045.088708371</v>
      </c>
      <c r="L336" s="44">
        <v>62</v>
      </c>
      <c r="M336" s="12">
        <f t="shared" si="44"/>
        <v>732749.99999999953</v>
      </c>
      <c r="N336" s="12">
        <f t="shared" si="45"/>
        <v>149999.99999999948</v>
      </c>
      <c r="O336" s="12">
        <f t="shared" si="46"/>
        <v>582750</v>
      </c>
      <c r="P336" s="12">
        <f t="shared" si="47"/>
        <v>38700000</v>
      </c>
    </row>
    <row r="337" spans="2:16" x14ac:dyDescent="0.25">
      <c r="B337" s="44">
        <v>63</v>
      </c>
      <c r="C337" s="12">
        <f t="shared" si="40"/>
        <v>923868.90863363119</v>
      </c>
      <c r="D337" s="12">
        <f t="shared" si="41"/>
        <v>96498.232303005643</v>
      </c>
      <c r="E337" s="12">
        <f t="shared" si="42"/>
        <v>827370.67633062555</v>
      </c>
      <c r="F337" s="12">
        <f t="shared" si="77"/>
        <v>55061546.856405362</v>
      </c>
      <c r="L337" s="44">
        <v>63</v>
      </c>
      <c r="M337" s="12">
        <f t="shared" si="44"/>
        <v>730499.99999999953</v>
      </c>
      <c r="N337" s="12">
        <f t="shared" si="45"/>
        <v>149999.99999999948</v>
      </c>
      <c r="O337" s="12">
        <f t="shared" si="46"/>
        <v>580500</v>
      </c>
      <c r="P337" s="12">
        <f t="shared" si="47"/>
        <v>38550000</v>
      </c>
    </row>
    <row r="338" spans="2:16" x14ac:dyDescent="0.25">
      <c r="B338" s="44">
        <v>64</v>
      </c>
      <c r="C338" s="12">
        <f t="shared" si="40"/>
        <v>923868.90863363119</v>
      </c>
      <c r="D338" s="12">
        <f t="shared" si="41"/>
        <v>97945.705787550774</v>
      </c>
      <c r="E338" s="12">
        <f t="shared" si="42"/>
        <v>825923.20284608041</v>
      </c>
      <c r="F338" s="12">
        <f t="shared" si="77"/>
        <v>54963601.150617808</v>
      </c>
      <c r="L338" s="44">
        <v>64</v>
      </c>
      <c r="M338" s="12">
        <f t="shared" si="44"/>
        <v>728249.99999999953</v>
      </c>
      <c r="N338" s="12">
        <f t="shared" si="45"/>
        <v>149999.99999999948</v>
      </c>
      <c r="O338" s="12">
        <f t="shared" si="46"/>
        <v>578250</v>
      </c>
      <c r="P338" s="12">
        <f t="shared" si="47"/>
        <v>38400000</v>
      </c>
    </row>
    <row r="339" spans="2:16" x14ac:dyDescent="0.25">
      <c r="B339" s="44">
        <v>65</v>
      </c>
      <c r="C339" s="12">
        <f t="shared" si="40"/>
        <v>923868.90863363119</v>
      </c>
      <c r="D339" s="12">
        <f t="shared" si="41"/>
        <v>99414.891374364146</v>
      </c>
      <c r="E339" s="12">
        <f>F338*$C$7</f>
        <v>824454.01725926704</v>
      </c>
      <c r="F339" s="12">
        <f>F338-D339</f>
        <v>54864186.259243444</v>
      </c>
      <c r="L339" s="44">
        <v>65</v>
      </c>
      <c r="M339" s="12">
        <f t="shared" si="44"/>
        <v>725999.99999999953</v>
      </c>
      <c r="N339" s="12">
        <f t="shared" si="45"/>
        <v>149999.99999999948</v>
      </c>
      <c r="O339" s="12">
        <f t="shared" si="46"/>
        <v>576000</v>
      </c>
      <c r="P339" s="12">
        <f t="shared" si="47"/>
        <v>38250000</v>
      </c>
    </row>
    <row r="340" spans="2:16" x14ac:dyDescent="0.25">
      <c r="B340" s="44">
        <v>66</v>
      </c>
      <c r="C340" s="12">
        <f t="shared" ref="C340:C394" si="81">$D$270</f>
        <v>923868.90863363119</v>
      </c>
      <c r="D340" s="12">
        <f t="shared" ref="D340" si="82">C340-E340+3000000</f>
        <v>3100906.1147449794</v>
      </c>
      <c r="E340" s="12">
        <f t="shared" si="42"/>
        <v>822962.79388865165</v>
      </c>
      <c r="F340" s="12">
        <f t="shared" ref="F340:F352" si="83">F339-D340</f>
        <v>51763280.144498467</v>
      </c>
      <c r="L340" s="44">
        <v>66</v>
      </c>
      <c r="M340" s="12">
        <f t="shared" ref="M340:M394" si="84">N340+O340</f>
        <v>3723749.9999999995</v>
      </c>
      <c r="N340" s="12">
        <f t="shared" ref="N340" si="85">$O$270+$O$269</f>
        <v>3149999.9999999995</v>
      </c>
      <c r="O340" s="12">
        <f t="shared" ref="O340:O394" si="86">P339*$D$138</f>
        <v>573750</v>
      </c>
      <c r="P340" s="12">
        <f t="shared" ref="P340:P394" si="87">P339-N340</f>
        <v>35100000</v>
      </c>
    </row>
    <row r="341" spans="2:16" x14ac:dyDescent="0.25">
      <c r="B341" s="44">
        <v>67</v>
      </c>
      <c r="C341" s="12">
        <f t="shared" si="81"/>
        <v>923868.90863363119</v>
      </c>
      <c r="D341" s="12">
        <f t="shared" ref="D341:D393" si="88">C341-E341</f>
        <v>147419.7064661542</v>
      </c>
      <c r="E341" s="12">
        <f t="shared" ref="E341:E352" si="89">F340*$C$7</f>
        <v>776449.20216747699</v>
      </c>
      <c r="F341" s="12">
        <f t="shared" si="83"/>
        <v>51615860.438032314</v>
      </c>
      <c r="L341" s="44">
        <v>67</v>
      </c>
      <c r="M341" s="12">
        <f t="shared" si="84"/>
        <v>676499.99999999953</v>
      </c>
      <c r="N341" s="12">
        <f t="shared" ref="N341:N393" si="90">$O$270</f>
        <v>149999.99999999948</v>
      </c>
      <c r="O341" s="12">
        <f t="shared" si="86"/>
        <v>526500</v>
      </c>
      <c r="P341" s="12">
        <f t="shared" si="87"/>
        <v>34950000</v>
      </c>
    </row>
    <row r="342" spans="2:16" x14ac:dyDescent="0.25">
      <c r="B342" s="44">
        <v>68</v>
      </c>
      <c r="C342" s="12">
        <f t="shared" si="81"/>
        <v>923868.90863363119</v>
      </c>
      <c r="D342" s="12">
        <f t="shared" si="88"/>
        <v>149631.00206314656</v>
      </c>
      <c r="E342" s="12">
        <f t="shared" si="89"/>
        <v>774237.90657048463</v>
      </c>
      <c r="F342" s="12">
        <f t="shared" si="83"/>
        <v>51466229.435969166</v>
      </c>
      <c r="L342" s="44">
        <v>68</v>
      </c>
      <c r="M342" s="12">
        <f t="shared" si="84"/>
        <v>674249.99999999953</v>
      </c>
      <c r="N342" s="12">
        <f t="shared" si="90"/>
        <v>149999.99999999948</v>
      </c>
      <c r="O342" s="12">
        <f t="shared" si="86"/>
        <v>524250</v>
      </c>
      <c r="P342" s="12">
        <f t="shared" si="87"/>
        <v>34800000</v>
      </c>
    </row>
    <row r="343" spans="2:16" x14ac:dyDescent="0.25">
      <c r="B343" s="44">
        <v>69</v>
      </c>
      <c r="C343" s="12">
        <f t="shared" si="81"/>
        <v>923868.90863363119</v>
      </c>
      <c r="D343" s="12">
        <f t="shared" si="88"/>
        <v>151875.46709409368</v>
      </c>
      <c r="E343" s="12">
        <f t="shared" si="89"/>
        <v>771993.44153953751</v>
      </c>
      <c r="F343" s="12">
        <f t="shared" si="83"/>
        <v>51314353.968875073</v>
      </c>
      <c r="L343" s="44">
        <v>69</v>
      </c>
      <c r="M343" s="12">
        <f t="shared" si="84"/>
        <v>671999.99999999953</v>
      </c>
      <c r="N343" s="12">
        <f t="shared" si="90"/>
        <v>149999.99999999948</v>
      </c>
      <c r="O343" s="12">
        <f t="shared" si="86"/>
        <v>522000</v>
      </c>
      <c r="P343" s="12">
        <f t="shared" si="87"/>
        <v>34650000</v>
      </c>
    </row>
    <row r="344" spans="2:16" x14ac:dyDescent="0.25">
      <c r="B344" s="44">
        <v>70</v>
      </c>
      <c r="C344" s="12">
        <f t="shared" si="81"/>
        <v>923868.90863363119</v>
      </c>
      <c r="D344" s="12">
        <f t="shared" si="88"/>
        <v>154153.59910050512</v>
      </c>
      <c r="E344" s="12">
        <f t="shared" si="89"/>
        <v>769715.30953312607</v>
      </c>
      <c r="F344" s="12">
        <f t="shared" si="83"/>
        <v>51160200.369774565</v>
      </c>
      <c r="L344" s="44">
        <v>70</v>
      </c>
      <c r="M344" s="12">
        <f t="shared" si="84"/>
        <v>669749.99999999953</v>
      </c>
      <c r="N344" s="12">
        <f t="shared" si="90"/>
        <v>149999.99999999948</v>
      </c>
      <c r="O344" s="12">
        <f t="shared" si="86"/>
        <v>519750</v>
      </c>
      <c r="P344" s="12">
        <f t="shared" si="87"/>
        <v>34500000</v>
      </c>
    </row>
    <row r="345" spans="2:16" x14ac:dyDescent="0.25">
      <c r="B345" s="44">
        <v>71</v>
      </c>
      <c r="C345" s="12">
        <f t="shared" si="81"/>
        <v>923868.90863363119</v>
      </c>
      <c r="D345" s="12">
        <f t="shared" si="88"/>
        <v>156465.9030870127</v>
      </c>
      <c r="E345" s="12">
        <f t="shared" si="89"/>
        <v>767403.00554661849</v>
      </c>
      <c r="F345" s="12">
        <f t="shared" si="83"/>
        <v>51003734.466687553</v>
      </c>
      <c r="L345" s="44">
        <v>71</v>
      </c>
      <c r="M345" s="12">
        <f t="shared" si="84"/>
        <v>667499.99999999953</v>
      </c>
      <c r="N345" s="12">
        <f t="shared" si="90"/>
        <v>149999.99999999948</v>
      </c>
      <c r="O345" s="12">
        <f t="shared" si="86"/>
        <v>517500</v>
      </c>
      <c r="P345" s="12">
        <f t="shared" si="87"/>
        <v>34350000</v>
      </c>
    </row>
    <row r="346" spans="2:16" x14ac:dyDescent="0.25">
      <c r="B346" s="44">
        <v>72</v>
      </c>
      <c r="C346" s="12">
        <f t="shared" si="81"/>
        <v>923868.90863363119</v>
      </c>
      <c r="D346" s="12">
        <f t="shared" ref="D346" si="91">C346-E346+3000000</f>
        <v>3158812.8916333178</v>
      </c>
      <c r="E346" s="12">
        <f t="shared" si="89"/>
        <v>765056.01700031327</v>
      </c>
      <c r="F346" s="12">
        <f t="shared" si="83"/>
        <v>47844921.575054236</v>
      </c>
      <c r="L346" s="44">
        <v>72</v>
      </c>
      <c r="M346" s="12">
        <f t="shared" si="84"/>
        <v>3665249.9999999995</v>
      </c>
      <c r="N346" s="12">
        <f t="shared" ref="N346" si="92">$O$270+$O$269</f>
        <v>3149999.9999999995</v>
      </c>
      <c r="O346" s="12">
        <f t="shared" si="86"/>
        <v>515250</v>
      </c>
      <c r="P346" s="12">
        <f t="shared" si="87"/>
        <v>31200000</v>
      </c>
    </row>
    <row r="347" spans="2:16" x14ac:dyDescent="0.25">
      <c r="B347" s="44">
        <v>73</v>
      </c>
      <c r="C347" s="12">
        <f t="shared" si="81"/>
        <v>923868.90863363119</v>
      </c>
      <c r="D347" s="12">
        <f t="shared" ref="D347" si="93">C347-E347</f>
        <v>206195.08500781772</v>
      </c>
      <c r="E347" s="12">
        <f t="shared" si="89"/>
        <v>717673.82362581347</v>
      </c>
      <c r="F347" s="12">
        <f t="shared" si="83"/>
        <v>47638726.490046419</v>
      </c>
      <c r="L347" s="44">
        <v>73</v>
      </c>
      <c r="M347" s="12">
        <f t="shared" si="84"/>
        <v>617999.99999999953</v>
      </c>
      <c r="N347" s="12">
        <f t="shared" ref="N347" si="94">$O$270</f>
        <v>149999.99999999948</v>
      </c>
      <c r="O347" s="12">
        <f t="shared" si="86"/>
        <v>468000</v>
      </c>
      <c r="P347" s="12">
        <f t="shared" si="87"/>
        <v>31050000</v>
      </c>
    </row>
    <row r="348" spans="2:16" x14ac:dyDescent="0.25">
      <c r="B348" s="44">
        <v>74</v>
      </c>
      <c r="C348" s="12">
        <f t="shared" si="81"/>
        <v>923868.90863363119</v>
      </c>
      <c r="D348" s="12">
        <f t="shared" si="88"/>
        <v>209288.01128293492</v>
      </c>
      <c r="E348" s="12">
        <f t="shared" si="89"/>
        <v>714580.89735069626</v>
      </c>
      <c r="F348" s="12">
        <f t="shared" si="83"/>
        <v>47429438.478763483</v>
      </c>
      <c r="L348" s="44">
        <v>74</v>
      </c>
      <c r="M348" s="12">
        <f t="shared" si="84"/>
        <v>615749.99999999953</v>
      </c>
      <c r="N348" s="12">
        <f t="shared" si="90"/>
        <v>149999.99999999948</v>
      </c>
      <c r="O348" s="12">
        <f t="shared" si="86"/>
        <v>465750</v>
      </c>
      <c r="P348" s="12">
        <f t="shared" si="87"/>
        <v>30900000</v>
      </c>
    </row>
    <row r="349" spans="2:16" x14ac:dyDescent="0.25">
      <c r="B349" s="44">
        <v>75</v>
      </c>
      <c r="C349" s="12">
        <f t="shared" si="81"/>
        <v>923868.90863363119</v>
      </c>
      <c r="D349" s="12">
        <f t="shared" si="88"/>
        <v>212427.331452179</v>
      </c>
      <c r="E349" s="12">
        <f t="shared" si="89"/>
        <v>711441.57718145219</v>
      </c>
      <c r="F349" s="12">
        <f t="shared" si="83"/>
        <v>47217011.147311307</v>
      </c>
      <c r="L349" s="44">
        <v>75</v>
      </c>
      <c r="M349" s="12">
        <f t="shared" si="84"/>
        <v>613499.99999999953</v>
      </c>
      <c r="N349" s="12">
        <f t="shared" si="90"/>
        <v>149999.99999999948</v>
      </c>
      <c r="O349" s="12">
        <f t="shared" si="86"/>
        <v>463500</v>
      </c>
      <c r="P349" s="12">
        <f t="shared" si="87"/>
        <v>30750000</v>
      </c>
    </row>
    <row r="350" spans="2:16" x14ac:dyDescent="0.25">
      <c r="B350" s="44">
        <v>76</v>
      </c>
      <c r="C350" s="12">
        <f t="shared" si="81"/>
        <v>923868.90863363119</v>
      </c>
      <c r="D350" s="12">
        <f t="shared" si="88"/>
        <v>215613.74142396159</v>
      </c>
      <c r="E350" s="12">
        <f t="shared" si="89"/>
        <v>708255.1672096696</v>
      </c>
      <c r="F350" s="12">
        <f t="shared" si="83"/>
        <v>47001397.405887343</v>
      </c>
      <c r="L350" s="44">
        <v>76</v>
      </c>
      <c r="M350" s="12">
        <f t="shared" si="84"/>
        <v>611249.99999999953</v>
      </c>
      <c r="N350" s="12">
        <f t="shared" si="90"/>
        <v>149999.99999999948</v>
      </c>
      <c r="O350" s="12">
        <f t="shared" si="86"/>
        <v>461250</v>
      </c>
      <c r="P350" s="12">
        <f t="shared" si="87"/>
        <v>30600000</v>
      </c>
    </row>
    <row r="351" spans="2:16" x14ac:dyDescent="0.25">
      <c r="B351" s="44">
        <v>77</v>
      </c>
      <c r="C351" s="12">
        <f t="shared" si="81"/>
        <v>923868.90863363119</v>
      </c>
      <c r="D351" s="12">
        <f t="shared" si="88"/>
        <v>218847.94754532108</v>
      </c>
      <c r="E351" s="12">
        <f t="shared" si="89"/>
        <v>705020.96108831011</v>
      </c>
      <c r="F351" s="12">
        <f t="shared" si="83"/>
        <v>46782549.458342023</v>
      </c>
      <c r="L351" s="44">
        <v>77</v>
      </c>
      <c r="M351" s="12">
        <f t="shared" si="84"/>
        <v>608999.99999999953</v>
      </c>
      <c r="N351" s="12">
        <f t="shared" si="90"/>
        <v>149999.99999999948</v>
      </c>
      <c r="O351" s="12">
        <f t="shared" si="86"/>
        <v>459000</v>
      </c>
      <c r="P351" s="12">
        <f t="shared" si="87"/>
        <v>30450000</v>
      </c>
    </row>
    <row r="352" spans="2:16" x14ac:dyDescent="0.25">
      <c r="B352" s="44">
        <v>78</v>
      </c>
      <c r="C352" s="12">
        <f t="shared" si="81"/>
        <v>923868.90863363119</v>
      </c>
      <c r="D352" s="12">
        <f t="shared" ref="D352" si="95">C352-E352+3000000</f>
        <v>3222130.666758501</v>
      </c>
      <c r="E352" s="12">
        <f t="shared" si="89"/>
        <v>701738.24187513033</v>
      </c>
      <c r="F352" s="12">
        <f t="shared" si="83"/>
        <v>43560418.791583523</v>
      </c>
      <c r="L352" s="44">
        <v>78</v>
      </c>
      <c r="M352" s="12">
        <f t="shared" si="84"/>
        <v>3606749.9999999995</v>
      </c>
      <c r="N352" s="12">
        <f t="shared" ref="N352" si="96">$O$270+$O$269</f>
        <v>3149999.9999999995</v>
      </c>
      <c r="O352" s="12">
        <f t="shared" si="86"/>
        <v>456750</v>
      </c>
      <c r="P352" s="12">
        <f t="shared" si="87"/>
        <v>27300000</v>
      </c>
    </row>
    <row r="353" spans="2:16" x14ac:dyDescent="0.25">
      <c r="B353" s="44">
        <v>79</v>
      </c>
      <c r="C353" s="12">
        <f t="shared" si="81"/>
        <v>923868.90863363119</v>
      </c>
      <c r="D353" s="12">
        <f t="shared" si="88"/>
        <v>270462.62675987836</v>
      </c>
      <c r="E353" s="12">
        <f>F352*$C$7</f>
        <v>653406.28187375283</v>
      </c>
      <c r="F353" s="12">
        <f>F352-D353</f>
        <v>43289956.164823644</v>
      </c>
      <c r="L353" s="44">
        <v>79</v>
      </c>
      <c r="M353" s="12">
        <f t="shared" si="84"/>
        <v>559499.99999999953</v>
      </c>
      <c r="N353" s="12">
        <f t="shared" ref="N353" si="97">$O$270</f>
        <v>149999.99999999948</v>
      </c>
      <c r="O353" s="12">
        <f t="shared" si="86"/>
        <v>409500</v>
      </c>
      <c r="P353" s="12">
        <f t="shared" si="87"/>
        <v>27150000</v>
      </c>
    </row>
    <row r="354" spans="2:16" x14ac:dyDescent="0.25">
      <c r="B354" s="44">
        <v>80</v>
      </c>
      <c r="C354" s="12">
        <f t="shared" si="81"/>
        <v>923868.90863363119</v>
      </c>
      <c r="D354" s="12">
        <f t="shared" si="88"/>
        <v>274519.56616127654</v>
      </c>
      <c r="E354" s="12">
        <f t="shared" ref="E354:E366" si="98">F353*$C$7</f>
        <v>649349.34247235465</v>
      </c>
      <c r="F354" s="12">
        <f t="shared" ref="F354:F366" si="99">F353-D354</f>
        <v>43015436.598662369</v>
      </c>
      <c r="L354" s="44">
        <v>80</v>
      </c>
      <c r="M354" s="12">
        <f t="shared" si="84"/>
        <v>557249.99999999953</v>
      </c>
      <c r="N354" s="12">
        <f t="shared" si="90"/>
        <v>149999.99999999948</v>
      </c>
      <c r="O354" s="12">
        <f t="shared" si="86"/>
        <v>407250</v>
      </c>
      <c r="P354" s="12">
        <f t="shared" si="87"/>
        <v>27000000</v>
      </c>
    </row>
    <row r="355" spans="2:16" x14ac:dyDescent="0.25">
      <c r="B355" s="44">
        <v>81</v>
      </c>
      <c r="C355" s="12">
        <f t="shared" si="81"/>
        <v>923868.90863363119</v>
      </c>
      <c r="D355" s="12">
        <f t="shared" si="88"/>
        <v>278637.35965369572</v>
      </c>
      <c r="E355" s="12">
        <f t="shared" si="98"/>
        <v>645231.54897993547</v>
      </c>
      <c r="F355" s="12">
        <f t="shared" si="99"/>
        <v>42736799.239008673</v>
      </c>
      <c r="L355" s="44">
        <v>81</v>
      </c>
      <c r="M355" s="12">
        <f t="shared" si="84"/>
        <v>554999.99999999953</v>
      </c>
      <c r="N355" s="12">
        <f t="shared" si="90"/>
        <v>149999.99999999948</v>
      </c>
      <c r="O355" s="12">
        <f t="shared" si="86"/>
        <v>405000</v>
      </c>
      <c r="P355" s="12">
        <f t="shared" si="87"/>
        <v>26850000</v>
      </c>
    </row>
    <row r="356" spans="2:16" x14ac:dyDescent="0.25">
      <c r="B356" s="44">
        <v>82</v>
      </c>
      <c r="C356" s="12">
        <f t="shared" si="81"/>
        <v>923868.90863363119</v>
      </c>
      <c r="D356" s="12">
        <f t="shared" si="88"/>
        <v>282816.92004850111</v>
      </c>
      <c r="E356" s="12">
        <f t="shared" si="98"/>
        <v>641051.98858513008</v>
      </c>
      <c r="F356" s="12">
        <f t="shared" si="99"/>
        <v>42453982.318960175</v>
      </c>
      <c r="L356" s="44">
        <v>82</v>
      </c>
      <c r="M356" s="12">
        <f t="shared" si="84"/>
        <v>552749.99999999953</v>
      </c>
      <c r="N356" s="12">
        <f t="shared" si="90"/>
        <v>149999.99999999948</v>
      </c>
      <c r="O356" s="12">
        <f t="shared" si="86"/>
        <v>402750</v>
      </c>
      <c r="P356" s="12">
        <f t="shared" si="87"/>
        <v>26700000</v>
      </c>
    </row>
    <row r="357" spans="2:16" x14ac:dyDescent="0.25">
      <c r="B357" s="44">
        <v>83</v>
      </c>
      <c r="C357" s="12">
        <f t="shared" si="81"/>
        <v>923868.90863363119</v>
      </c>
      <c r="D357" s="12">
        <f t="shared" si="88"/>
        <v>287059.17384922854</v>
      </c>
      <c r="E357" s="12">
        <f t="shared" si="98"/>
        <v>636809.73478440265</v>
      </c>
      <c r="F357" s="12">
        <f t="shared" si="99"/>
        <v>42166923.14511095</v>
      </c>
      <c r="L357" s="44">
        <v>83</v>
      </c>
      <c r="M357" s="12">
        <f t="shared" si="84"/>
        <v>550499.99999999953</v>
      </c>
      <c r="N357" s="12">
        <f t="shared" si="90"/>
        <v>149999.99999999948</v>
      </c>
      <c r="O357" s="12">
        <f t="shared" si="86"/>
        <v>400500</v>
      </c>
      <c r="P357" s="12">
        <f t="shared" si="87"/>
        <v>26550000</v>
      </c>
    </row>
    <row r="358" spans="2:16" x14ac:dyDescent="0.25">
      <c r="B358" s="44">
        <v>84</v>
      </c>
      <c r="C358" s="12">
        <f t="shared" si="81"/>
        <v>923868.90863363119</v>
      </c>
      <c r="D358" s="12">
        <f t="shared" ref="D358" si="100">C358-E358+3000000</f>
        <v>3291365.0614569671</v>
      </c>
      <c r="E358" s="12">
        <f t="shared" si="98"/>
        <v>632503.84717666428</v>
      </c>
      <c r="F358" s="12">
        <f t="shared" si="99"/>
        <v>38875558.083653986</v>
      </c>
      <c r="L358" s="44">
        <v>84</v>
      </c>
      <c r="M358" s="12">
        <f t="shared" si="84"/>
        <v>3548249.9999999995</v>
      </c>
      <c r="N358" s="12">
        <f t="shared" ref="N358" si="101">$O$270+$O$269</f>
        <v>3149999.9999999995</v>
      </c>
      <c r="O358" s="12">
        <f t="shared" si="86"/>
        <v>398250</v>
      </c>
      <c r="P358" s="12">
        <f t="shared" si="87"/>
        <v>23400000</v>
      </c>
    </row>
    <row r="359" spans="2:16" x14ac:dyDescent="0.25">
      <c r="B359" s="44">
        <v>85</v>
      </c>
      <c r="C359" s="12">
        <f t="shared" si="81"/>
        <v>923868.90863363119</v>
      </c>
      <c r="D359" s="12">
        <f t="shared" si="88"/>
        <v>340735.53737882141</v>
      </c>
      <c r="E359" s="12">
        <f t="shared" si="98"/>
        <v>583133.37125480978</v>
      </c>
      <c r="F359" s="12">
        <f t="shared" si="99"/>
        <v>38534822.546275169</v>
      </c>
      <c r="L359" s="44">
        <v>85</v>
      </c>
      <c r="M359" s="12">
        <f t="shared" si="84"/>
        <v>500999.99999999948</v>
      </c>
      <c r="N359" s="12">
        <f t="shared" ref="N359" si="102">$O$270</f>
        <v>149999.99999999948</v>
      </c>
      <c r="O359" s="12">
        <f t="shared" si="86"/>
        <v>351000</v>
      </c>
      <c r="P359" s="12">
        <f t="shared" si="87"/>
        <v>23250000</v>
      </c>
    </row>
    <row r="360" spans="2:16" x14ac:dyDescent="0.25">
      <c r="B360" s="44">
        <v>86</v>
      </c>
      <c r="C360" s="12">
        <f t="shared" si="81"/>
        <v>923868.90863363119</v>
      </c>
      <c r="D360" s="12">
        <f t="shared" si="88"/>
        <v>345846.57043950364</v>
      </c>
      <c r="E360" s="12">
        <f t="shared" si="98"/>
        <v>578022.33819412754</v>
      </c>
      <c r="F360" s="12">
        <f t="shared" si="99"/>
        <v>38188975.975835666</v>
      </c>
      <c r="L360" s="44">
        <v>86</v>
      </c>
      <c r="M360" s="12">
        <f t="shared" si="84"/>
        <v>498749.99999999948</v>
      </c>
      <c r="N360" s="12">
        <f t="shared" si="90"/>
        <v>149999.99999999948</v>
      </c>
      <c r="O360" s="12">
        <f t="shared" si="86"/>
        <v>348750</v>
      </c>
      <c r="P360" s="12">
        <f t="shared" si="87"/>
        <v>23100000</v>
      </c>
    </row>
    <row r="361" spans="2:16" x14ac:dyDescent="0.25">
      <c r="B361" s="44">
        <v>87</v>
      </c>
      <c r="C361" s="12">
        <f t="shared" si="81"/>
        <v>923868.90863363119</v>
      </c>
      <c r="D361" s="12">
        <f t="shared" si="88"/>
        <v>351034.26899609622</v>
      </c>
      <c r="E361" s="12">
        <f t="shared" si="98"/>
        <v>572834.63963753497</v>
      </c>
      <c r="F361" s="12">
        <f t="shared" si="99"/>
        <v>37837941.706839569</v>
      </c>
      <c r="L361" s="44">
        <v>87</v>
      </c>
      <c r="M361" s="12">
        <f t="shared" si="84"/>
        <v>496499.99999999948</v>
      </c>
      <c r="N361" s="12">
        <f t="shared" si="90"/>
        <v>149999.99999999948</v>
      </c>
      <c r="O361" s="12">
        <f t="shared" si="86"/>
        <v>346500</v>
      </c>
      <c r="P361" s="12">
        <f t="shared" si="87"/>
        <v>22950000</v>
      </c>
    </row>
    <row r="362" spans="2:16" x14ac:dyDescent="0.25">
      <c r="B362" s="44">
        <v>88</v>
      </c>
      <c r="C362" s="12">
        <f t="shared" si="81"/>
        <v>923868.90863363119</v>
      </c>
      <c r="D362" s="12">
        <f t="shared" si="88"/>
        <v>356299.78303103766</v>
      </c>
      <c r="E362" s="12">
        <f t="shared" si="98"/>
        <v>567569.12560259353</v>
      </c>
      <c r="F362" s="12">
        <f t="shared" si="99"/>
        <v>37481641.92380853</v>
      </c>
      <c r="L362" s="44">
        <v>88</v>
      </c>
      <c r="M362" s="12">
        <f t="shared" si="84"/>
        <v>494249.99999999948</v>
      </c>
      <c r="N362" s="12">
        <f t="shared" si="90"/>
        <v>149999.99999999948</v>
      </c>
      <c r="O362" s="12">
        <f t="shared" si="86"/>
        <v>344250</v>
      </c>
      <c r="P362" s="12">
        <f t="shared" si="87"/>
        <v>22800000</v>
      </c>
    </row>
    <row r="363" spans="2:16" x14ac:dyDescent="0.25">
      <c r="B363" s="44">
        <v>89</v>
      </c>
      <c r="C363" s="12">
        <f t="shared" si="81"/>
        <v>923868.90863363119</v>
      </c>
      <c r="D363" s="12">
        <f t="shared" si="88"/>
        <v>361644.27977650322</v>
      </c>
      <c r="E363" s="12">
        <f t="shared" si="98"/>
        <v>562224.62885712797</v>
      </c>
      <c r="F363" s="12">
        <f t="shared" si="99"/>
        <v>37119997.644032024</v>
      </c>
      <c r="L363" s="44">
        <v>89</v>
      </c>
      <c r="M363" s="12">
        <f t="shared" si="84"/>
        <v>491999.99999999948</v>
      </c>
      <c r="N363" s="12">
        <f t="shared" si="90"/>
        <v>149999.99999999948</v>
      </c>
      <c r="O363" s="12">
        <f t="shared" si="86"/>
        <v>342000</v>
      </c>
      <c r="P363" s="12">
        <f t="shared" si="87"/>
        <v>22650000</v>
      </c>
    </row>
    <row r="364" spans="2:16" x14ac:dyDescent="0.25">
      <c r="B364" s="44">
        <v>90</v>
      </c>
      <c r="C364" s="12">
        <f t="shared" si="81"/>
        <v>923868.90863363119</v>
      </c>
      <c r="D364" s="12">
        <f t="shared" ref="D364" si="103">C364-E364+3000000</f>
        <v>3367068.943973151</v>
      </c>
      <c r="E364" s="12">
        <f t="shared" si="98"/>
        <v>556799.96466048039</v>
      </c>
      <c r="F364" s="12">
        <f t="shared" si="99"/>
        <v>33752928.70005887</v>
      </c>
      <c r="L364" s="44">
        <v>90</v>
      </c>
      <c r="M364" s="12">
        <f t="shared" si="84"/>
        <v>3489749.9999999995</v>
      </c>
      <c r="N364" s="12">
        <f t="shared" ref="N364" si="104">$O$270+$O$269</f>
        <v>3149999.9999999995</v>
      </c>
      <c r="O364" s="12">
        <f t="shared" si="86"/>
        <v>339750</v>
      </c>
      <c r="P364" s="12">
        <f t="shared" si="87"/>
        <v>19500000</v>
      </c>
    </row>
    <row r="365" spans="2:16" x14ac:dyDescent="0.25">
      <c r="B365" s="44">
        <v>91</v>
      </c>
      <c r="C365" s="12">
        <f t="shared" si="81"/>
        <v>923868.90863363119</v>
      </c>
      <c r="D365" s="12">
        <f t="shared" ref="D365" si="105">C365-E365</f>
        <v>417574.97813274816</v>
      </c>
      <c r="E365" s="12">
        <f t="shared" si="98"/>
        <v>506293.93050088303</v>
      </c>
      <c r="F365" s="12">
        <f t="shared" si="99"/>
        <v>33335353.721926123</v>
      </c>
      <c r="L365" s="44">
        <v>91</v>
      </c>
      <c r="M365" s="12">
        <f t="shared" si="84"/>
        <v>442499.99999999948</v>
      </c>
      <c r="N365" s="12">
        <f t="shared" ref="N365" si="106">$O$270</f>
        <v>149999.99999999948</v>
      </c>
      <c r="O365" s="12">
        <f t="shared" si="86"/>
        <v>292500</v>
      </c>
      <c r="P365" s="12">
        <f t="shared" si="87"/>
        <v>19350000</v>
      </c>
    </row>
    <row r="366" spans="2:16" x14ac:dyDescent="0.25">
      <c r="B366" s="44">
        <v>92</v>
      </c>
      <c r="C366" s="12">
        <f t="shared" si="81"/>
        <v>923868.90863363119</v>
      </c>
      <c r="D366" s="12">
        <f t="shared" si="88"/>
        <v>423838.60280473938</v>
      </c>
      <c r="E366" s="12">
        <f t="shared" si="98"/>
        <v>500030.30582889181</v>
      </c>
      <c r="F366" s="12">
        <f t="shared" si="99"/>
        <v>32911515.119121384</v>
      </c>
      <c r="L366" s="44">
        <v>92</v>
      </c>
      <c r="M366" s="12">
        <f t="shared" si="84"/>
        <v>440249.99999999948</v>
      </c>
      <c r="N366" s="12">
        <f t="shared" si="90"/>
        <v>149999.99999999948</v>
      </c>
      <c r="O366" s="12">
        <f t="shared" si="86"/>
        <v>290250</v>
      </c>
      <c r="P366" s="12">
        <f t="shared" si="87"/>
        <v>19200000</v>
      </c>
    </row>
    <row r="367" spans="2:16" x14ac:dyDescent="0.25">
      <c r="B367" s="44">
        <v>93</v>
      </c>
      <c r="C367" s="12">
        <f t="shared" si="81"/>
        <v>923868.90863363119</v>
      </c>
      <c r="D367" s="12">
        <f t="shared" si="88"/>
        <v>430196.18184681045</v>
      </c>
      <c r="E367" s="12">
        <f>F366*$C$7</f>
        <v>493672.72678682074</v>
      </c>
      <c r="F367" s="12">
        <f>F366-D367</f>
        <v>32481318.937274575</v>
      </c>
      <c r="L367" s="44">
        <v>93</v>
      </c>
      <c r="M367" s="12">
        <f t="shared" si="84"/>
        <v>437999.99999999948</v>
      </c>
      <c r="N367" s="12">
        <f t="shared" si="90"/>
        <v>149999.99999999948</v>
      </c>
      <c r="O367" s="12">
        <f t="shared" si="86"/>
        <v>288000</v>
      </c>
      <c r="P367" s="12">
        <f t="shared" si="87"/>
        <v>19050000</v>
      </c>
    </row>
    <row r="368" spans="2:16" x14ac:dyDescent="0.25">
      <c r="B368" s="44">
        <v>94</v>
      </c>
      <c r="C368" s="12">
        <f t="shared" si="81"/>
        <v>923868.90863363119</v>
      </c>
      <c r="D368" s="12">
        <f t="shared" si="88"/>
        <v>436649.12457451259</v>
      </c>
      <c r="E368" s="12">
        <f t="shared" ref="E368:E382" si="107">F367*$C$7</f>
        <v>487219.7840591186</v>
      </c>
      <c r="F368" s="12">
        <f t="shared" ref="F368:F382" si="108">F367-D368</f>
        <v>32044669.812700063</v>
      </c>
      <c r="L368" s="44">
        <v>94</v>
      </c>
      <c r="M368" s="12">
        <f t="shared" si="84"/>
        <v>435749.99999999948</v>
      </c>
      <c r="N368" s="12">
        <f t="shared" si="90"/>
        <v>149999.99999999948</v>
      </c>
      <c r="O368" s="12">
        <f t="shared" si="86"/>
        <v>285750</v>
      </c>
      <c r="P368" s="12">
        <f t="shared" si="87"/>
        <v>18900000</v>
      </c>
    </row>
    <row r="369" spans="2:16" x14ac:dyDescent="0.25">
      <c r="B369" s="44">
        <v>95</v>
      </c>
      <c r="C369" s="12">
        <f t="shared" si="81"/>
        <v>923868.90863363119</v>
      </c>
      <c r="D369" s="12">
        <f t="shared" si="88"/>
        <v>443198.86144313024</v>
      </c>
      <c r="E369" s="12">
        <f t="shared" si="107"/>
        <v>480670.04719050095</v>
      </c>
      <c r="F369" s="12">
        <f t="shared" si="108"/>
        <v>31601470.951256935</v>
      </c>
      <c r="L369" s="44">
        <v>95</v>
      </c>
      <c r="M369" s="12">
        <f t="shared" si="84"/>
        <v>433499.99999999948</v>
      </c>
      <c r="N369" s="12">
        <f t="shared" si="90"/>
        <v>149999.99999999948</v>
      </c>
      <c r="O369" s="12">
        <f t="shared" si="86"/>
        <v>283500</v>
      </c>
      <c r="P369" s="12">
        <f t="shared" si="87"/>
        <v>18750000</v>
      </c>
    </row>
    <row r="370" spans="2:16" x14ac:dyDescent="0.25">
      <c r="B370" s="44">
        <v>96</v>
      </c>
      <c r="C370" s="12">
        <f t="shared" si="81"/>
        <v>923868.90863363119</v>
      </c>
      <c r="D370" s="12">
        <f t="shared" ref="D370" si="109">C370-E370+3000000</f>
        <v>3449846.8443647772</v>
      </c>
      <c r="E370" s="12">
        <f t="shared" si="107"/>
        <v>474022.06426885398</v>
      </c>
      <c r="F370" s="12">
        <f t="shared" si="108"/>
        <v>28151624.106892157</v>
      </c>
      <c r="L370" s="44">
        <v>96</v>
      </c>
      <c r="M370" s="12">
        <f t="shared" si="84"/>
        <v>3431249.9999999995</v>
      </c>
      <c r="N370" s="12">
        <f t="shared" ref="N370" si="110">$O$270+$O$269</f>
        <v>3149999.9999999995</v>
      </c>
      <c r="O370" s="12">
        <f t="shared" si="86"/>
        <v>281250</v>
      </c>
      <c r="P370" s="12">
        <f t="shared" si="87"/>
        <v>15600000</v>
      </c>
    </row>
    <row r="371" spans="2:16" x14ac:dyDescent="0.25">
      <c r="B371" s="44">
        <v>97</v>
      </c>
      <c r="C371" s="12">
        <f t="shared" si="81"/>
        <v>923868.90863363119</v>
      </c>
      <c r="D371" s="12">
        <f t="shared" si="88"/>
        <v>501594.54703024885</v>
      </c>
      <c r="E371" s="12">
        <f t="shared" si="107"/>
        <v>422274.36160338233</v>
      </c>
      <c r="F371" s="12">
        <f t="shared" si="108"/>
        <v>27650029.55986191</v>
      </c>
      <c r="L371" s="44">
        <v>97</v>
      </c>
      <c r="M371" s="12">
        <f t="shared" si="84"/>
        <v>383999.99999999948</v>
      </c>
      <c r="N371" s="12">
        <f t="shared" ref="N371" si="111">$O$270</f>
        <v>149999.99999999948</v>
      </c>
      <c r="O371" s="12">
        <f t="shared" si="86"/>
        <v>234000</v>
      </c>
      <c r="P371" s="12">
        <f t="shared" si="87"/>
        <v>15450000</v>
      </c>
    </row>
    <row r="372" spans="2:16" x14ac:dyDescent="0.25">
      <c r="B372" s="44">
        <v>98</v>
      </c>
      <c r="C372" s="12">
        <f t="shared" si="81"/>
        <v>923868.90863363119</v>
      </c>
      <c r="D372" s="12">
        <f t="shared" si="88"/>
        <v>509118.46523570258</v>
      </c>
      <c r="E372" s="12">
        <f t="shared" si="107"/>
        <v>414750.44339792861</v>
      </c>
      <c r="F372" s="12">
        <f t="shared" si="108"/>
        <v>27140911.094626207</v>
      </c>
      <c r="L372" s="44">
        <v>98</v>
      </c>
      <c r="M372" s="12">
        <f t="shared" si="84"/>
        <v>381749.99999999948</v>
      </c>
      <c r="N372" s="12">
        <f t="shared" si="90"/>
        <v>149999.99999999948</v>
      </c>
      <c r="O372" s="12">
        <f t="shared" si="86"/>
        <v>231750</v>
      </c>
      <c r="P372" s="12">
        <f t="shared" si="87"/>
        <v>15300000</v>
      </c>
    </row>
    <row r="373" spans="2:16" x14ac:dyDescent="0.25">
      <c r="B373" s="44">
        <v>99</v>
      </c>
      <c r="C373" s="12">
        <f t="shared" si="81"/>
        <v>923868.90863363119</v>
      </c>
      <c r="D373" s="12">
        <f t="shared" si="88"/>
        <v>516755.2422142381</v>
      </c>
      <c r="E373" s="12">
        <f t="shared" si="107"/>
        <v>407113.66641939309</v>
      </c>
      <c r="F373" s="12">
        <f t="shared" si="108"/>
        <v>26624155.85241197</v>
      </c>
      <c r="L373" s="44">
        <v>99</v>
      </c>
      <c r="M373" s="12">
        <f t="shared" si="84"/>
        <v>379499.99999999948</v>
      </c>
      <c r="N373" s="12">
        <f t="shared" si="90"/>
        <v>149999.99999999948</v>
      </c>
      <c r="O373" s="12">
        <f t="shared" si="86"/>
        <v>229500</v>
      </c>
      <c r="P373" s="12">
        <f t="shared" si="87"/>
        <v>15150000</v>
      </c>
    </row>
    <row r="374" spans="2:16" x14ac:dyDescent="0.25">
      <c r="B374" s="44">
        <v>100</v>
      </c>
      <c r="C374" s="12">
        <f t="shared" si="81"/>
        <v>923868.90863363119</v>
      </c>
      <c r="D374" s="12">
        <f t="shared" si="88"/>
        <v>524506.57084745169</v>
      </c>
      <c r="E374" s="12">
        <f t="shared" si="107"/>
        <v>399362.33778617956</v>
      </c>
      <c r="F374" s="12">
        <f t="shared" si="108"/>
        <v>26099649.281564519</v>
      </c>
      <c r="L374" s="44">
        <v>100</v>
      </c>
      <c r="M374" s="12">
        <f t="shared" si="84"/>
        <v>377249.99999999948</v>
      </c>
      <c r="N374" s="12">
        <f t="shared" si="90"/>
        <v>149999.99999999948</v>
      </c>
      <c r="O374" s="12">
        <f t="shared" si="86"/>
        <v>227250</v>
      </c>
      <c r="P374" s="12">
        <f t="shared" si="87"/>
        <v>15000000</v>
      </c>
    </row>
    <row r="375" spans="2:16" x14ac:dyDescent="0.25">
      <c r="B375" s="44">
        <v>101</v>
      </c>
      <c r="C375" s="12">
        <f t="shared" si="81"/>
        <v>923868.90863363119</v>
      </c>
      <c r="D375" s="12">
        <f t="shared" si="88"/>
        <v>532374.16941016342</v>
      </c>
      <c r="E375" s="12">
        <f t="shared" si="107"/>
        <v>391494.73922346777</v>
      </c>
      <c r="F375" s="12">
        <f t="shared" si="108"/>
        <v>25567275.112154357</v>
      </c>
      <c r="L375" s="44">
        <v>101</v>
      </c>
      <c r="M375" s="12">
        <f t="shared" si="84"/>
        <v>374999.99999999948</v>
      </c>
      <c r="N375" s="12">
        <f t="shared" si="90"/>
        <v>149999.99999999948</v>
      </c>
      <c r="O375" s="12">
        <f t="shared" si="86"/>
        <v>225000</v>
      </c>
      <c r="P375" s="12">
        <f t="shared" si="87"/>
        <v>14850000</v>
      </c>
    </row>
    <row r="376" spans="2:16" x14ac:dyDescent="0.25">
      <c r="B376" s="44">
        <v>102</v>
      </c>
      <c r="C376" s="12">
        <f t="shared" si="81"/>
        <v>923868.90863363119</v>
      </c>
      <c r="D376" s="12">
        <f t="shared" ref="D376" si="112">C376-E376+3000000</f>
        <v>3540359.7819513157</v>
      </c>
      <c r="E376" s="12">
        <f t="shared" si="107"/>
        <v>383509.12668231537</v>
      </c>
      <c r="F376" s="12">
        <f t="shared" si="108"/>
        <v>22026915.330203041</v>
      </c>
      <c r="L376" s="44">
        <v>102</v>
      </c>
      <c r="M376" s="12">
        <f t="shared" si="84"/>
        <v>3372749.9999999995</v>
      </c>
      <c r="N376" s="12">
        <f t="shared" ref="N376" si="113">$O$270+$O$269</f>
        <v>3149999.9999999995</v>
      </c>
      <c r="O376" s="12">
        <f t="shared" si="86"/>
        <v>222750</v>
      </c>
      <c r="P376" s="12">
        <f t="shared" si="87"/>
        <v>11700000</v>
      </c>
    </row>
    <row r="377" spans="2:16" x14ac:dyDescent="0.25">
      <c r="B377" s="44">
        <v>103</v>
      </c>
      <c r="C377" s="12">
        <f t="shared" si="81"/>
        <v>923868.90863363119</v>
      </c>
      <c r="D377" s="12">
        <f t="shared" si="88"/>
        <v>593465.17868058558</v>
      </c>
      <c r="E377" s="12">
        <f t="shared" si="107"/>
        <v>330403.72995304561</v>
      </c>
      <c r="F377" s="12">
        <f t="shared" si="108"/>
        <v>21433450.151522458</v>
      </c>
      <c r="L377" s="44">
        <v>103</v>
      </c>
      <c r="M377" s="12">
        <f t="shared" si="84"/>
        <v>325499.99999999948</v>
      </c>
      <c r="N377" s="12">
        <f t="shared" ref="N377" si="114">$O$270</f>
        <v>149999.99999999948</v>
      </c>
      <c r="O377" s="12">
        <f t="shared" si="86"/>
        <v>175500</v>
      </c>
      <c r="P377" s="12">
        <f t="shared" si="87"/>
        <v>11550000</v>
      </c>
    </row>
    <row r="378" spans="2:16" x14ac:dyDescent="0.25">
      <c r="B378" s="44">
        <v>104</v>
      </c>
      <c r="C378" s="12">
        <f t="shared" si="81"/>
        <v>923868.90863363119</v>
      </c>
      <c r="D378" s="12">
        <f t="shared" si="88"/>
        <v>602367.15636079432</v>
      </c>
      <c r="E378" s="12">
        <f t="shared" si="107"/>
        <v>321501.75227283686</v>
      </c>
      <c r="F378" s="12">
        <f t="shared" si="108"/>
        <v>20831082.995161664</v>
      </c>
      <c r="L378" s="44">
        <v>104</v>
      </c>
      <c r="M378" s="12">
        <f t="shared" si="84"/>
        <v>323249.99999999948</v>
      </c>
      <c r="N378" s="12">
        <f t="shared" si="90"/>
        <v>149999.99999999948</v>
      </c>
      <c r="O378" s="12">
        <f t="shared" si="86"/>
        <v>173250</v>
      </c>
      <c r="P378" s="12">
        <f t="shared" si="87"/>
        <v>11400000</v>
      </c>
    </row>
    <row r="379" spans="2:16" x14ac:dyDescent="0.25">
      <c r="B379" s="44">
        <v>105</v>
      </c>
      <c r="C379" s="12">
        <f t="shared" si="81"/>
        <v>923868.90863363119</v>
      </c>
      <c r="D379" s="12">
        <f t="shared" si="88"/>
        <v>611402.66370620625</v>
      </c>
      <c r="E379" s="12">
        <f t="shared" si="107"/>
        <v>312466.24492742494</v>
      </c>
      <c r="F379" s="12">
        <f t="shared" si="108"/>
        <v>20219680.331455458</v>
      </c>
      <c r="L379" s="44">
        <v>105</v>
      </c>
      <c r="M379" s="12">
        <f t="shared" si="84"/>
        <v>320999.99999999948</v>
      </c>
      <c r="N379" s="12">
        <f t="shared" si="90"/>
        <v>149999.99999999948</v>
      </c>
      <c r="O379" s="12">
        <f t="shared" si="86"/>
        <v>171000</v>
      </c>
      <c r="P379" s="12">
        <f t="shared" si="87"/>
        <v>11250000</v>
      </c>
    </row>
    <row r="380" spans="2:16" x14ac:dyDescent="0.25">
      <c r="B380" s="44">
        <v>106</v>
      </c>
      <c r="C380" s="12">
        <f t="shared" si="81"/>
        <v>923868.90863363119</v>
      </c>
      <c r="D380" s="12">
        <f t="shared" si="88"/>
        <v>620573.70366179931</v>
      </c>
      <c r="E380" s="12">
        <f t="shared" si="107"/>
        <v>303295.20497183187</v>
      </c>
      <c r="F380" s="12">
        <f t="shared" si="108"/>
        <v>19599106.627793659</v>
      </c>
      <c r="L380" s="44">
        <v>106</v>
      </c>
      <c r="M380" s="12">
        <f t="shared" si="84"/>
        <v>318749.99999999948</v>
      </c>
      <c r="N380" s="12">
        <f t="shared" si="90"/>
        <v>149999.99999999948</v>
      </c>
      <c r="O380" s="12">
        <f t="shared" si="86"/>
        <v>168750</v>
      </c>
      <c r="P380" s="12">
        <f t="shared" si="87"/>
        <v>11100000</v>
      </c>
    </row>
    <row r="381" spans="2:16" x14ac:dyDescent="0.25">
      <c r="B381" s="44">
        <v>107</v>
      </c>
      <c r="C381" s="12">
        <f t="shared" si="81"/>
        <v>923868.90863363119</v>
      </c>
      <c r="D381" s="12">
        <f t="shared" si="88"/>
        <v>629882.30921672634</v>
      </c>
      <c r="E381" s="12">
        <f t="shared" si="107"/>
        <v>293986.59941690485</v>
      </c>
      <c r="F381" s="12">
        <f t="shared" si="108"/>
        <v>18969224.318576932</v>
      </c>
      <c r="L381" s="44">
        <v>107</v>
      </c>
      <c r="M381" s="12">
        <f t="shared" si="84"/>
        <v>316499.99999999948</v>
      </c>
      <c r="N381" s="12">
        <f t="shared" si="90"/>
        <v>149999.99999999948</v>
      </c>
      <c r="O381" s="12">
        <f t="shared" si="86"/>
        <v>166500</v>
      </c>
      <c r="P381" s="12">
        <f t="shared" si="87"/>
        <v>10950000</v>
      </c>
    </row>
    <row r="382" spans="2:16" x14ac:dyDescent="0.25">
      <c r="B382" s="44">
        <v>108</v>
      </c>
      <c r="C382" s="12">
        <f t="shared" si="81"/>
        <v>923868.90863363119</v>
      </c>
      <c r="D382" s="12">
        <f t="shared" ref="D382" si="115">C382-E382+3000000</f>
        <v>3639330.543854977</v>
      </c>
      <c r="E382" s="12">
        <f t="shared" si="107"/>
        <v>284538.36477865395</v>
      </c>
      <c r="F382" s="12">
        <f t="shared" si="108"/>
        <v>15329893.774721954</v>
      </c>
      <c r="L382" s="44">
        <v>108</v>
      </c>
      <c r="M382" s="12">
        <f t="shared" si="84"/>
        <v>3314249.9999999995</v>
      </c>
      <c r="N382" s="12">
        <f t="shared" ref="N382" si="116">$O$270+$O$269</f>
        <v>3149999.9999999995</v>
      </c>
      <c r="O382" s="12">
        <f t="shared" si="86"/>
        <v>164250</v>
      </c>
      <c r="P382" s="12">
        <f t="shared" si="87"/>
        <v>7800000</v>
      </c>
    </row>
    <row r="383" spans="2:16" x14ac:dyDescent="0.25">
      <c r="B383" s="44">
        <v>109</v>
      </c>
      <c r="C383" s="12">
        <f t="shared" si="81"/>
        <v>923868.90863363119</v>
      </c>
      <c r="D383" s="12">
        <f t="shared" ref="D383" si="117">C383-E383</f>
        <v>693920.50201280182</v>
      </c>
      <c r="E383" s="12">
        <f>F382*$C$7</f>
        <v>229948.40662082931</v>
      </c>
      <c r="F383" s="12">
        <f>F382-D383</f>
        <v>14635973.272709152</v>
      </c>
      <c r="L383" s="44">
        <v>109</v>
      </c>
      <c r="M383" s="12">
        <f t="shared" si="84"/>
        <v>266999.99999999948</v>
      </c>
      <c r="N383" s="12">
        <f t="shared" ref="N383" si="118">$O$270</f>
        <v>149999.99999999948</v>
      </c>
      <c r="O383" s="12">
        <f t="shared" si="86"/>
        <v>117000</v>
      </c>
      <c r="P383" s="12">
        <f t="shared" si="87"/>
        <v>7650000.0000000009</v>
      </c>
    </row>
    <row r="384" spans="2:16" x14ac:dyDescent="0.25">
      <c r="B384" s="44">
        <v>110</v>
      </c>
      <c r="C384" s="12">
        <f t="shared" si="81"/>
        <v>923868.90863363119</v>
      </c>
      <c r="D384" s="12">
        <f t="shared" si="88"/>
        <v>704329.3095429939</v>
      </c>
      <c r="E384" s="12">
        <f t="shared" ref="E384:E393" si="119">F383*$C$7</f>
        <v>219539.59909063726</v>
      </c>
      <c r="F384" s="12">
        <f t="shared" ref="F384:F393" si="120">F383-D384</f>
        <v>13931643.963166159</v>
      </c>
      <c r="L384" s="44">
        <v>110</v>
      </c>
      <c r="M384" s="12">
        <f t="shared" si="84"/>
        <v>264749.99999999948</v>
      </c>
      <c r="N384" s="12">
        <f t="shared" si="90"/>
        <v>149999.99999999948</v>
      </c>
      <c r="O384" s="12">
        <f t="shared" si="86"/>
        <v>114750.00000000001</v>
      </c>
      <c r="P384" s="12">
        <f t="shared" si="87"/>
        <v>7500000.0000000019</v>
      </c>
    </row>
    <row r="385" spans="1:16" x14ac:dyDescent="0.25">
      <c r="B385" s="44">
        <v>111</v>
      </c>
      <c r="C385" s="12">
        <f t="shared" si="81"/>
        <v>923868.90863363119</v>
      </c>
      <c r="D385" s="12">
        <f t="shared" si="88"/>
        <v>714894.24918613886</v>
      </c>
      <c r="E385" s="12">
        <f t="shared" si="119"/>
        <v>208974.65944749236</v>
      </c>
      <c r="F385" s="12">
        <f t="shared" si="120"/>
        <v>13216749.713980019</v>
      </c>
      <c r="L385" s="44">
        <v>111</v>
      </c>
      <c r="M385" s="12">
        <f t="shared" si="84"/>
        <v>262499.99999999953</v>
      </c>
      <c r="N385" s="12">
        <f t="shared" si="90"/>
        <v>149999.99999999948</v>
      </c>
      <c r="O385" s="12">
        <f t="shared" si="86"/>
        <v>112500.00000000003</v>
      </c>
      <c r="P385" s="12">
        <f t="shared" si="87"/>
        <v>7350000.0000000028</v>
      </c>
    </row>
    <row r="386" spans="1:16" x14ac:dyDescent="0.25">
      <c r="B386" s="44">
        <v>112</v>
      </c>
      <c r="C386" s="12">
        <f t="shared" si="81"/>
        <v>923868.90863363119</v>
      </c>
      <c r="D386" s="12">
        <f t="shared" si="88"/>
        <v>725617.66292393091</v>
      </c>
      <c r="E386" s="12">
        <f t="shared" si="119"/>
        <v>198251.24570970028</v>
      </c>
      <c r="F386" s="12">
        <f t="shared" si="120"/>
        <v>12491132.051056089</v>
      </c>
      <c r="L386" s="44">
        <v>112</v>
      </c>
      <c r="M386" s="12">
        <f t="shared" si="84"/>
        <v>260249.99999999953</v>
      </c>
      <c r="N386" s="12">
        <f t="shared" si="90"/>
        <v>149999.99999999948</v>
      </c>
      <c r="O386" s="12">
        <f t="shared" si="86"/>
        <v>110250.00000000004</v>
      </c>
      <c r="P386" s="12">
        <f t="shared" si="87"/>
        <v>7200000.0000000037</v>
      </c>
    </row>
    <row r="387" spans="1:16" x14ac:dyDescent="0.25">
      <c r="B387" s="44">
        <v>113</v>
      </c>
      <c r="C387" s="12">
        <f t="shared" si="81"/>
        <v>923868.90863363119</v>
      </c>
      <c r="D387" s="12">
        <f t="shared" si="88"/>
        <v>736501.92786778987</v>
      </c>
      <c r="E387" s="12">
        <f t="shared" si="119"/>
        <v>187366.98076584132</v>
      </c>
      <c r="F387" s="12">
        <f t="shared" si="120"/>
        <v>11754630.123188298</v>
      </c>
      <c r="L387" s="44">
        <v>113</v>
      </c>
      <c r="M387" s="12">
        <f t="shared" si="84"/>
        <v>257999.99999999953</v>
      </c>
      <c r="N387" s="12">
        <f t="shared" si="90"/>
        <v>149999.99999999948</v>
      </c>
      <c r="O387" s="12">
        <f t="shared" si="86"/>
        <v>108000.00000000006</v>
      </c>
      <c r="P387" s="12">
        <f t="shared" si="87"/>
        <v>7050000.0000000047</v>
      </c>
    </row>
    <row r="388" spans="1:16" x14ac:dyDescent="0.25">
      <c r="B388" s="44">
        <v>114</v>
      </c>
      <c r="C388" s="12">
        <f t="shared" si="81"/>
        <v>923868.90863363119</v>
      </c>
      <c r="D388" s="12">
        <f t="shared" ref="D388" si="121">C388-E388+3000000</f>
        <v>3747549.4567858065</v>
      </c>
      <c r="E388" s="12">
        <f t="shared" si="119"/>
        <v>176319.45184782447</v>
      </c>
      <c r="F388" s="12">
        <f t="shared" si="120"/>
        <v>8007080.6664024917</v>
      </c>
      <c r="L388" s="44">
        <v>114</v>
      </c>
      <c r="M388" s="12">
        <f t="shared" si="84"/>
        <v>3255749.9999999995</v>
      </c>
      <c r="N388" s="12">
        <f t="shared" ref="N388" si="122">$O$270+$O$269</f>
        <v>3149999.9999999995</v>
      </c>
      <c r="O388" s="12">
        <f t="shared" si="86"/>
        <v>105750.00000000007</v>
      </c>
      <c r="P388" s="12">
        <f t="shared" si="87"/>
        <v>3900000.0000000051</v>
      </c>
    </row>
    <row r="389" spans="1:16" x14ac:dyDescent="0.25">
      <c r="B389" s="44">
        <v>115</v>
      </c>
      <c r="C389" s="12">
        <f t="shared" si="81"/>
        <v>923868.90863363119</v>
      </c>
      <c r="D389" s="12">
        <f t="shared" si="88"/>
        <v>803762.69863759377</v>
      </c>
      <c r="E389" s="12">
        <f t="shared" si="119"/>
        <v>120106.20999603737</v>
      </c>
      <c r="F389" s="12">
        <f t="shared" si="120"/>
        <v>7203317.9677648982</v>
      </c>
      <c r="L389" s="44">
        <v>115</v>
      </c>
      <c r="M389" s="12">
        <f t="shared" si="84"/>
        <v>208499.99999999953</v>
      </c>
      <c r="N389" s="12">
        <f t="shared" ref="N389" si="123">$O$270</f>
        <v>149999.99999999948</v>
      </c>
      <c r="O389" s="12">
        <f t="shared" si="86"/>
        <v>58500.000000000073</v>
      </c>
      <c r="P389" s="12">
        <f t="shared" si="87"/>
        <v>3750000.0000000056</v>
      </c>
    </row>
    <row r="390" spans="1:16" x14ac:dyDescent="0.25">
      <c r="B390" s="44">
        <v>116</v>
      </c>
      <c r="C390" s="12">
        <f t="shared" si="81"/>
        <v>923868.90863363119</v>
      </c>
      <c r="D390" s="12">
        <f t="shared" si="88"/>
        <v>815819.13911715767</v>
      </c>
      <c r="E390" s="12">
        <f t="shared" si="119"/>
        <v>108049.76951647348</v>
      </c>
      <c r="F390" s="12">
        <f t="shared" si="120"/>
        <v>6387498.8286477402</v>
      </c>
      <c r="L390" s="44">
        <v>116</v>
      </c>
      <c r="M390" s="12">
        <f t="shared" si="84"/>
        <v>206249.99999999956</v>
      </c>
      <c r="N390" s="12">
        <f t="shared" si="90"/>
        <v>149999.99999999948</v>
      </c>
      <c r="O390" s="12">
        <f t="shared" si="86"/>
        <v>56250.00000000008</v>
      </c>
      <c r="P390" s="12">
        <f t="shared" si="87"/>
        <v>3600000.0000000061</v>
      </c>
    </row>
    <row r="391" spans="1:16" x14ac:dyDescent="0.25">
      <c r="B391" s="44">
        <v>117</v>
      </c>
      <c r="C391" s="12">
        <f t="shared" si="81"/>
        <v>923868.90863363119</v>
      </c>
      <c r="D391" s="12">
        <f t="shared" si="88"/>
        <v>828056.42620391515</v>
      </c>
      <c r="E391" s="12">
        <f t="shared" si="119"/>
        <v>95812.482429716096</v>
      </c>
      <c r="F391" s="12">
        <f t="shared" si="120"/>
        <v>5559442.4024438253</v>
      </c>
      <c r="L391" s="44">
        <v>117</v>
      </c>
      <c r="M391" s="12">
        <f t="shared" si="84"/>
        <v>203999.99999999956</v>
      </c>
      <c r="N391" s="12">
        <f t="shared" si="90"/>
        <v>149999.99999999948</v>
      </c>
      <c r="O391" s="12">
        <f t="shared" si="86"/>
        <v>54000.000000000087</v>
      </c>
      <c r="P391" s="12">
        <f t="shared" si="87"/>
        <v>3450000.0000000065</v>
      </c>
    </row>
    <row r="392" spans="1:16" x14ac:dyDescent="0.25">
      <c r="B392" s="44">
        <v>118</v>
      </c>
      <c r="C392" s="12">
        <f t="shared" si="81"/>
        <v>923868.90863363119</v>
      </c>
      <c r="D392" s="12">
        <f t="shared" si="88"/>
        <v>840477.27259697381</v>
      </c>
      <c r="E392" s="12">
        <f t="shared" si="119"/>
        <v>83391.636036657379</v>
      </c>
      <c r="F392" s="12">
        <f t="shared" si="120"/>
        <v>4718965.1298468513</v>
      </c>
      <c r="L392" s="44">
        <v>118</v>
      </c>
      <c r="M392" s="12">
        <f t="shared" si="84"/>
        <v>201749.99999999956</v>
      </c>
      <c r="N392" s="12">
        <f t="shared" si="90"/>
        <v>149999.99999999948</v>
      </c>
      <c r="O392" s="12">
        <f t="shared" si="86"/>
        <v>51750.000000000095</v>
      </c>
      <c r="P392" s="12">
        <f t="shared" si="87"/>
        <v>3300000.000000007</v>
      </c>
    </row>
    <row r="393" spans="1:16" x14ac:dyDescent="0.25">
      <c r="B393" s="44">
        <v>119</v>
      </c>
      <c r="C393" s="12">
        <f t="shared" si="81"/>
        <v>923868.90863363119</v>
      </c>
      <c r="D393" s="12">
        <f t="shared" si="88"/>
        <v>853084.43168592837</v>
      </c>
      <c r="E393" s="12">
        <f t="shared" si="119"/>
        <v>70784.476947702773</v>
      </c>
      <c r="F393" s="12">
        <f t="shared" si="120"/>
        <v>3865880.6981609231</v>
      </c>
      <c r="L393" s="44">
        <v>119</v>
      </c>
      <c r="M393" s="12">
        <f t="shared" si="84"/>
        <v>199499.99999999959</v>
      </c>
      <c r="N393" s="12">
        <f t="shared" si="90"/>
        <v>149999.99999999948</v>
      </c>
      <c r="O393" s="12">
        <f t="shared" si="86"/>
        <v>49500.000000000102</v>
      </c>
      <c r="P393" s="12">
        <f t="shared" si="87"/>
        <v>3150000.0000000075</v>
      </c>
    </row>
    <row r="394" spans="1:16" x14ac:dyDescent="0.25">
      <c r="B394" s="44">
        <v>120</v>
      </c>
      <c r="C394" s="12">
        <f t="shared" si="81"/>
        <v>923868.90863363119</v>
      </c>
      <c r="D394" s="12">
        <f t="shared" ref="D394" si="124">C394-E394+3000000</f>
        <v>3865880.6981612174</v>
      </c>
      <c r="E394" s="12">
        <f>F393*$C$7</f>
        <v>57988.210472413841</v>
      </c>
      <c r="F394" s="12">
        <f>F393-D394</f>
        <v>-2.9429793357849121E-7</v>
      </c>
      <c r="L394" s="44">
        <v>120</v>
      </c>
      <c r="M394" s="12">
        <f t="shared" si="84"/>
        <v>3197249.9999999995</v>
      </c>
      <c r="N394" s="12">
        <f t="shared" ref="N394" si="125">$O$270+$O$269</f>
        <v>3149999.9999999995</v>
      </c>
      <c r="O394" s="12">
        <f t="shared" si="86"/>
        <v>47250.000000000109</v>
      </c>
      <c r="P394" s="12">
        <f t="shared" si="87"/>
        <v>7.9162418842315674E-9</v>
      </c>
    </row>
    <row r="395" spans="1:16" x14ac:dyDescent="0.25">
      <c r="E395" s="68">
        <f>SUM(E275:E394)</f>
        <v>92864269.036035493</v>
      </c>
      <c r="F395" s="276">
        <f>PV(D138,B394,,-E395)</f>
        <v>15556918.434858026</v>
      </c>
    </row>
    <row r="397" spans="1:16" ht="15" customHeight="1" x14ac:dyDescent="0.25">
      <c r="A397" s="283" t="s">
        <v>274</v>
      </c>
      <c r="B397" s="283"/>
      <c r="C397" s="283"/>
      <c r="D397" s="283"/>
      <c r="E397" s="283"/>
      <c r="F397" s="283"/>
      <c r="G397" s="283"/>
    </row>
    <row r="398" spans="1:16" x14ac:dyDescent="0.25">
      <c r="A398" s="283"/>
      <c r="B398" s="283"/>
      <c r="C398" s="283"/>
      <c r="D398" s="283"/>
      <c r="E398" s="283"/>
      <c r="F398" s="283"/>
      <c r="G398" s="283"/>
    </row>
    <row r="399" spans="1:16" x14ac:dyDescent="0.25">
      <c r="A399" s="284"/>
      <c r="B399" s="284"/>
      <c r="C399" s="284"/>
      <c r="D399" s="284"/>
      <c r="E399" s="284"/>
      <c r="F399" s="284"/>
      <c r="G399" s="284"/>
    </row>
    <row r="400" spans="1:16" x14ac:dyDescent="0.25">
      <c r="A400" s="284"/>
      <c r="B400" s="211" t="s">
        <v>254</v>
      </c>
      <c r="C400" s="211"/>
      <c r="D400" s="12">
        <v>78000000</v>
      </c>
      <c r="E400" s="284"/>
      <c r="F400" s="284"/>
      <c r="G400" s="284"/>
      <c r="L400" s="211" t="s">
        <v>254</v>
      </c>
      <c r="M400" s="211"/>
      <c r="N400" s="12">
        <v>78000000</v>
      </c>
    </row>
    <row r="401" spans="1:16" x14ac:dyDescent="0.25">
      <c r="A401" s="284"/>
      <c r="B401" s="211" t="s">
        <v>259</v>
      </c>
      <c r="C401" s="211"/>
      <c r="D401" s="272">
        <v>1.4999999999999999E-2</v>
      </c>
      <c r="E401" s="284"/>
      <c r="F401" s="284"/>
      <c r="G401" s="284"/>
      <c r="L401" s="211" t="s">
        <v>259</v>
      </c>
      <c r="M401" s="211"/>
      <c r="N401" s="272">
        <v>1.4999999999999999E-2</v>
      </c>
    </row>
    <row r="402" spans="1:16" x14ac:dyDescent="0.25">
      <c r="A402" s="284"/>
      <c r="B402" s="211" t="s">
        <v>110</v>
      </c>
      <c r="C402" s="211"/>
      <c r="D402" s="12">
        <v>1405444.5525197759</v>
      </c>
      <c r="E402" s="284"/>
      <c r="F402" s="284"/>
      <c r="G402" s="284"/>
      <c r="L402" s="211" t="s">
        <v>195</v>
      </c>
      <c r="M402" s="211"/>
      <c r="N402" s="44">
        <v>649999.99999999534</v>
      </c>
    </row>
    <row r="403" spans="1:16" x14ac:dyDescent="0.25">
      <c r="A403" s="284"/>
      <c r="E403" s="284"/>
      <c r="F403" s="284"/>
      <c r="G403" s="284"/>
    </row>
    <row r="404" spans="1:16" x14ac:dyDescent="0.25">
      <c r="A404" s="284"/>
      <c r="B404" s="144"/>
      <c r="C404" s="144"/>
      <c r="D404" s="237"/>
      <c r="E404" s="284"/>
      <c r="F404" s="284"/>
      <c r="G404" s="284"/>
    </row>
    <row r="405" spans="1:16" x14ac:dyDescent="0.25">
      <c r="A405" s="284"/>
      <c r="B405" s="274" t="s">
        <v>262</v>
      </c>
      <c r="C405" s="274"/>
      <c r="D405" s="274"/>
      <c r="E405" s="274"/>
      <c r="F405" s="274"/>
      <c r="G405" s="284"/>
      <c r="L405" s="274" t="s">
        <v>269</v>
      </c>
      <c r="M405" s="274"/>
      <c r="N405" s="274"/>
      <c r="O405" s="274"/>
      <c r="P405" s="274"/>
    </row>
    <row r="406" spans="1:16" x14ac:dyDescent="0.25">
      <c r="A406" s="284"/>
      <c r="B406" s="80" t="s">
        <v>264</v>
      </c>
      <c r="C406" s="44" t="s">
        <v>110</v>
      </c>
      <c r="D406" s="44" t="s">
        <v>195</v>
      </c>
      <c r="E406" s="44" t="s">
        <v>206</v>
      </c>
      <c r="F406" s="44" t="s">
        <v>196</v>
      </c>
      <c r="G406" s="284"/>
      <c r="L406" s="44" t="s">
        <v>264</v>
      </c>
      <c r="M406" s="44" t="s">
        <v>110</v>
      </c>
      <c r="N406" s="44" t="s">
        <v>195</v>
      </c>
      <c r="O406" s="44" t="s">
        <v>206</v>
      </c>
      <c r="P406" s="44" t="s">
        <v>196</v>
      </c>
    </row>
    <row r="407" spans="1:16" x14ac:dyDescent="0.25">
      <c r="A407" s="284"/>
      <c r="B407" s="80">
        <v>0</v>
      </c>
      <c r="C407" s="12"/>
      <c r="D407" s="12"/>
      <c r="E407" s="12"/>
      <c r="F407" s="12">
        <f>D400</f>
        <v>78000000</v>
      </c>
      <c r="G407" s="284"/>
      <c r="L407" s="12">
        <v>0</v>
      </c>
      <c r="M407" s="12"/>
      <c r="N407" s="12"/>
      <c r="O407" s="12"/>
      <c r="P407" s="12">
        <f>N400</f>
        <v>78000000</v>
      </c>
    </row>
    <row r="408" spans="1:16" x14ac:dyDescent="0.25">
      <c r="A408" s="284"/>
      <c r="B408" s="80">
        <v>1</v>
      </c>
      <c r="C408" s="12">
        <f>$D$402</f>
        <v>1405444.5525197759</v>
      </c>
      <c r="D408" s="12">
        <f>C408-E408</f>
        <v>235444.55251977593</v>
      </c>
      <c r="E408" s="12">
        <f>F407*$D$401</f>
        <v>1170000</v>
      </c>
      <c r="F408" s="12">
        <f>F407-D408</f>
        <v>77764555.447480232</v>
      </c>
      <c r="G408" s="284"/>
      <c r="L408" s="12">
        <v>1</v>
      </c>
      <c r="M408" s="12">
        <f>N408+O408</f>
        <v>1819999.9999999953</v>
      </c>
      <c r="N408" s="12">
        <f>$N$402</f>
        <v>649999.99999999534</v>
      </c>
      <c r="O408" s="12">
        <f>P407*$N$401</f>
        <v>1170000</v>
      </c>
      <c r="P408" s="12">
        <f>P407-N408</f>
        <v>77350000</v>
      </c>
    </row>
    <row r="409" spans="1:16" x14ac:dyDescent="0.25">
      <c r="A409" s="284"/>
      <c r="B409" s="80">
        <v>2</v>
      </c>
      <c r="C409" s="12">
        <f t="shared" ref="C409:C427" si="126">$D$402</f>
        <v>1405444.5525197759</v>
      </c>
      <c r="D409" s="12">
        <f t="shared" ref="D409:D427" si="127">C409-E409</f>
        <v>238976.22080757259</v>
      </c>
      <c r="E409" s="12">
        <f t="shared" ref="E409:E427" si="128">F408*$D$401</f>
        <v>1166468.3317122033</v>
      </c>
      <c r="F409" s="12">
        <f t="shared" ref="F409:F427" si="129">F408-D409</f>
        <v>77525579.226672664</v>
      </c>
      <c r="G409" s="284"/>
      <c r="L409" s="12">
        <v>2</v>
      </c>
      <c r="M409" s="12">
        <f t="shared" ref="M409:M427" si="130">N409+O409</f>
        <v>1810249.9999999953</v>
      </c>
      <c r="N409" s="12">
        <f t="shared" ref="N409:N427" si="131">$N$402</f>
        <v>649999.99999999534</v>
      </c>
      <c r="O409" s="12">
        <f t="shared" ref="O409:O427" si="132">P408*$N$401</f>
        <v>1160250</v>
      </c>
      <c r="P409" s="12">
        <f t="shared" ref="P409:P427" si="133">P408-N409</f>
        <v>76700000</v>
      </c>
    </row>
    <row r="410" spans="1:16" x14ac:dyDescent="0.25">
      <c r="A410" s="284"/>
      <c r="B410" s="80">
        <v>3</v>
      </c>
      <c r="C410" s="12">
        <f t="shared" si="126"/>
        <v>1405444.5525197759</v>
      </c>
      <c r="D410" s="12">
        <f t="shared" si="127"/>
        <v>242560.86411968595</v>
      </c>
      <c r="E410" s="12">
        <f t="shared" si="128"/>
        <v>1162883.68840009</v>
      </c>
      <c r="F410" s="12">
        <f t="shared" si="129"/>
        <v>77283018.362552986</v>
      </c>
      <c r="G410" s="284"/>
      <c r="L410" s="12">
        <v>3</v>
      </c>
      <c r="M410" s="12">
        <f t="shared" si="130"/>
        <v>1800499.9999999953</v>
      </c>
      <c r="N410" s="12">
        <f t="shared" si="131"/>
        <v>649999.99999999534</v>
      </c>
      <c r="O410" s="12">
        <f t="shared" si="132"/>
        <v>1150500</v>
      </c>
      <c r="P410" s="12">
        <f t="shared" si="133"/>
        <v>76050000</v>
      </c>
    </row>
    <row r="411" spans="1:16" x14ac:dyDescent="0.25">
      <c r="A411" s="284"/>
      <c r="B411" s="80">
        <v>4</v>
      </c>
      <c r="C411" s="12">
        <f t="shared" si="126"/>
        <v>1405444.5525197759</v>
      </c>
      <c r="D411" s="12">
        <f t="shared" si="127"/>
        <v>246199.27708148118</v>
      </c>
      <c r="E411" s="12">
        <f t="shared" si="128"/>
        <v>1159245.2754382947</v>
      </c>
      <c r="F411" s="12">
        <f t="shared" si="129"/>
        <v>77036819.085471511</v>
      </c>
      <c r="G411" s="284"/>
      <c r="L411" s="12">
        <v>4</v>
      </c>
      <c r="M411" s="12">
        <f t="shared" si="130"/>
        <v>1790749.9999999953</v>
      </c>
      <c r="N411" s="12">
        <f t="shared" si="131"/>
        <v>649999.99999999534</v>
      </c>
      <c r="O411" s="12">
        <f t="shared" si="132"/>
        <v>1140750</v>
      </c>
      <c r="P411" s="12">
        <f t="shared" si="133"/>
        <v>75400000</v>
      </c>
    </row>
    <row r="412" spans="1:16" x14ac:dyDescent="0.25">
      <c r="A412" s="284"/>
      <c r="B412" s="80">
        <v>5</v>
      </c>
      <c r="C412" s="12">
        <f t="shared" si="126"/>
        <v>1405444.5525197759</v>
      </c>
      <c r="D412" s="12">
        <f t="shared" si="127"/>
        <v>249892.26623770338</v>
      </c>
      <c r="E412" s="12">
        <f t="shared" si="128"/>
        <v>1155552.2862820725</v>
      </c>
      <c r="F412" s="12">
        <f t="shared" si="129"/>
        <v>76786926.819233805</v>
      </c>
      <c r="G412" s="284"/>
      <c r="L412" s="12">
        <v>5</v>
      </c>
      <c r="M412" s="12">
        <f t="shared" si="130"/>
        <v>1780999.9999999953</v>
      </c>
      <c r="N412" s="12">
        <f t="shared" si="131"/>
        <v>649999.99999999534</v>
      </c>
      <c r="O412" s="12">
        <f t="shared" si="132"/>
        <v>1131000</v>
      </c>
      <c r="P412" s="12">
        <f t="shared" si="133"/>
        <v>74750000</v>
      </c>
    </row>
    <row r="413" spans="1:16" x14ac:dyDescent="0.25">
      <c r="A413" s="284"/>
      <c r="B413" s="80">
        <v>6</v>
      </c>
      <c r="C413" s="12">
        <f t="shared" si="126"/>
        <v>1405444.5525197759</v>
      </c>
      <c r="D413" s="12">
        <f t="shared" si="127"/>
        <v>253640.65023126896</v>
      </c>
      <c r="E413" s="12">
        <f t="shared" si="128"/>
        <v>1151803.902288507</v>
      </c>
      <c r="F413" s="12">
        <f t="shared" si="129"/>
        <v>76533286.169002533</v>
      </c>
      <c r="G413" s="284"/>
      <c r="L413" s="12">
        <v>6</v>
      </c>
      <c r="M413" s="12">
        <f t="shared" si="130"/>
        <v>1771249.9999999953</v>
      </c>
      <c r="N413" s="12">
        <f t="shared" si="131"/>
        <v>649999.99999999534</v>
      </c>
      <c r="O413" s="12">
        <f t="shared" si="132"/>
        <v>1121250</v>
      </c>
      <c r="P413" s="12">
        <f t="shared" si="133"/>
        <v>74100000</v>
      </c>
    </row>
    <row r="414" spans="1:16" x14ac:dyDescent="0.25">
      <c r="A414" s="284"/>
      <c r="B414" s="80">
        <v>7</v>
      </c>
      <c r="C414" s="12">
        <f t="shared" si="126"/>
        <v>1405444.5525197759</v>
      </c>
      <c r="D414" s="12">
        <f t="shared" si="127"/>
        <v>257445.25998473796</v>
      </c>
      <c r="E414" s="12">
        <f t="shared" si="128"/>
        <v>1147999.292535038</v>
      </c>
      <c r="F414" s="12">
        <f t="shared" si="129"/>
        <v>76275840.909017801</v>
      </c>
      <c r="G414" s="284"/>
      <c r="L414" s="12">
        <v>7</v>
      </c>
      <c r="M414" s="12">
        <f t="shared" si="130"/>
        <v>1761499.9999999953</v>
      </c>
      <c r="N414" s="12">
        <f t="shared" si="131"/>
        <v>649999.99999999534</v>
      </c>
      <c r="O414" s="12">
        <f t="shared" si="132"/>
        <v>1111500</v>
      </c>
      <c r="P414" s="12">
        <f t="shared" si="133"/>
        <v>73450000</v>
      </c>
    </row>
    <row r="415" spans="1:16" x14ac:dyDescent="0.25">
      <c r="A415" s="284"/>
      <c r="B415" s="80">
        <v>8</v>
      </c>
      <c r="C415" s="12">
        <f t="shared" si="126"/>
        <v>1405444.5525197759</v>
      </c>
      <c r="D415" s="12">
        <f t="shared" si="127"/>
        <v>261306.93888450903</v>
      </c>
      <c r="E415" s="12">
        <f t="shared" si="128"/>
        <v>1144137.6136352669</v>
      </c>
      <c r="F415" s="12">
        <f t="shared" si="129"/>
        <v>76014533.97013329</v>
      </c>
      <c r="G415" s="284"/>
      <c r="L415" s="12">
        <v>8</v>
      </c>
      <c r="M415" s="12">
        <f t="shared" si="130"/>
        <v>1751749.9999999953</v>
      </c>
      <c r="N415" s="12">
        <f t="shared" si="131"/>
        <v>649999.99999999534</v>
      </c>
      <c r="O415" s="12">
        <f>P414*$N$401</f>
        <v>1101750</v>
      </c>
      <c r="P415" s="12">
        <f t="shared" si="133"/>
        <v>72800000</v>
      </c>
    </row>
    <row r="416" spans="1:16" x14ac:dyDescent="0.25">
      <c r="A416" s="284"/>
      <c r="B416" s="80">
        <v>9</v>
      </c>
      <c r="C416" s="12">
        <f t="shared" si="126"/>
        <v>1405444.5525197759</v>
      </c>
      <c r="D416" s="12">
        <f t="shared" si="127"/>
        <v>265226.54296777654</v>
      </c>
      <c r="E416" s="12">
        <f t="shared" si="128"/>
        <v>1140218.0095519994</v>
      </c>
      <c r="F416" s="12">
        <f t="shared" si="129"/>
        <v>75749307.427165508</v>
      </c>
      <c r="G416" s="284"/>
      <c r="L416" s="12">
        <v>9</v>
      </c>
      <c r="M416" s="12">
        <f t="shared" si="130"/>
        <v>1741999.9999999953</v>
      </c>
      <c r="N416" s="12">
        <f t="shared" si="131"/>
        <v>649999.99999999534</v>
      </c>
      <c r="O416" s="12">
        <f t="shared" si="132"/>
        <v>1092000</v>
      </c>
      <c r="P416" s="12">
        <f t="shared" si="133"/>
        <v>72150000</v>
      </c>
    </row>
    <row r="417" spans="1:20" x14ac:dyDescent="0.25">
      <c r="A417" s="284"/>
      <c r="B417" s="80">
        <v>10</v>
      </c>
      <c r="C417" s="12">
        <f t="shared" si="126"/>
        <v>1405444.5525197759</v>
      </c>
      <c r="D417" s="12">
        <f t="shared" si="127"/>
        <v>269204.9411122934</v>
      </c>
      <c r="E417" s="12">
        <f t="shared" si="128"/>
        <v>1136239.6114074825</v>
      </c>
      <c r="F417" s="12">
        <f t="shared" si="129"/>
        <v>75480102.486053213</v>
      </c>
      <c r="G417" s="284"/>
      <c r="L417" s="12">
        <v>10</v>
      </c>
      <c r="M417" s="12">
        <f t="shared" si="130"/>
        <v>1732249.9999999953</v>
      </c>
      <c r="N417" s="12">
        <f t="shared" si="131"/>
        <v>649999.99999999534</v>
      </c>
      <c r="O417" s="12">
        <f t="shared" si="132"/>
        <v>1082250</v>
      </c>
      <c r="P417" s="12">
        <f t="shared" si="133"/>
        <v>71500000</v>
      </c>
    </row>
    <row r="418" spans="1:20" x14ac:dyDescent="0.25">
      <c r="A418" s="284"/>
      <c r="B418" s="80">
        <v>11</v>
      </c>
      <c r="C418" s="12">
        <f t="shared" si="126"/>
        <v>1405444.5525197759</v>
      </c>
      <c r="D418" s="12">
        <f t="shared" si="127"/>
        <v>273243.01522897766</v>
      </c>
      <c r="E418" s="12">
        <f t="shared" si="128"/>
        <v>1132201.5372907983</v>
      </c>
      <c r="F418" s="12">
        <f t="shared" si="129"/>
        <v>75206859.470824242</v>
      </c>
      <c r="G418" s="284"/>
      <c r="L418" s="12">
        <v>11</v>
      </c>
      <c r="M418" s="12">
        <f t="shared" si="130"/>
        <v>1722499.9999999953</v>
      </c>
      <c r="N418" s="12">
        <f t="shared" si="131"/>
        <v>649999.99999999534</v>
      </c>
      <c r="O418" s="12">
        <f t="shared" si="132"/>
        <v>1072500</v>
      </c>
      <c r="P418" s="12">
        <f t="shared" si="133"/>
        <v>70850000</v>
      </c>
    </row>
    <row r="419" spans="1:20" x14ac:dyDescent="0.25">
      <c r="A419" s="284"/>
      <c r="B419" s="80">
        <v>12</v>
      </c>
      <c r="C419" s="12">
        <f t="shared" si="126"/>
        <v>1405444.5525197759</v>
      </c>
      <c r="D419" s="12">
        <f t="shared" si="127"/>
        <v>277341.66045741225</v>
      </c>
      <c r="E419" s="12">
        <f t="shared" si="128"/>
        <v>1128102.8920623637</v>
      </c>
      <c r="F419" s="12">
        <f t="shared" si="129"/>
        <v>74929517.810366824</v>
      </c>
      <c r="G419" s="284"/>
      <c r="L419" s="12">
        <v>12</v>
      </c>
      <c r="M419" s="12">
        <f t="shared" si="130"/>
        <v>1712749.9999999953</v>
      </c>
      <c r="N419" s="12">
        <f t="shared" si="131"/>
        <v>649999.99999999534</v>
      </c>
      <c r="O419" s="12">
        <f t="shared" si="132"/>
        <v>1062750</v>
      </c>
      <c r="P419" s="12">
        <f t="shared" si="133"/>
        <v>70200000</v>
      </c>
    </row>
    <row r="420" spans="1:20" x14ac:dyDescent="0.25">
      <c r="A420" s="284"/>
      <c r="B420" s="80">
        <v>13</v>
      </c>
      <c r="C420" s="12">
        <f t="shared" si="126"/>
        <v>1405444.5525197759</v>
      </c>
      <c r="D420" s="12">
        <f t="shared" si="127"/>
        <v>281501.7853642737</v>
      </c>
      <c r="E420" s="12">
        <f t="shared" si="128"/>
        <v>1123942.7671555022</v>
      </c>
      <c r="F420" s="12">
        <f t="shared" si="129"/>
        <v>74648016.025002554</v>
      </c>
      <c r="G420" s="284"/>
      <c r="L420" s="12">
        <v>13</v>
      </c>
      <c r="M420" s="12">
        <f t="shared" si="130"/>
        <v>1702999.9999999953</v>
      </c>
      <c r="N420" s="12">
        <f t="shared" si="131"/>
        <v>649999.99999999534</v>
      </c>
      <c r="O420" s="12">
        <f t="shared" si="132"/>
        <v>1053000</v>
      </c>
      <c r="P420" s="12">
        <f t="shared" si="133"/>
        <v>69550000</v>
      </c>
    </row>
    <row r="421" spans="1:20" x14ac:dyDescent="0.25">
      <c r="A421" s="284"/>
      <c r="B421" s="80">
        <v>14</v>
      </c>
      <c r="C421" s="12">
        <f t="shared" si="126"/>
        <v>1405444.5525197759</v>
      </c>
      <c r="D421" s="12">
        <f t="shared" si="127"/>
        <v>285724.31214473769</v>
      </c>
      <c r="E421" s="12">
        <f t="shared" si="128"/>
        <v>1119720.2403750382</v>
      </c>
      <c r="F421" s="12">
        <f t="shared" si="129"/>
        <v>74362291.712857813</v>
      </c>
      <c r="G421" s="284"/>
      <c r="L421" s="12">
        <v>14</v>
      </c>
      <c r="M421" s="12">
        <f t="shared" si="130"/>
        <v>1693249.9999999953</v>
      </c>
      <c r="N421" s="12">
        <f t="shared" si="131"/>
        <v>649999.99999999534</v>
      </c>
      <c r="O421" s="12">
        <f t="shared" si="132"/>
        <v>1043250</v>
      </c>
      <c r="P421" s="12">
        <f t="shared" si="133"/>
        <v>68900000</v>
      </c>
    </row>
    <row r="422" spans="1:20" x14ac:dyDescent="0.25">
      <c r="A422" s="284"/>
      <c r="B422" s="80">
        <v>15</v>
      </c>
      <c r="C422" s="12">
        <f t="shared" si="126"/>
        <v>1405444.5525197759</v>
      </c>
      <c r="D422" s="12">
        <f t="shared" si="127"/>
        <v>290010.17682690872</v>
      </c>
      <c r="E422" s="12">
        <f t="shared" si="128"/>
        <v>1115434.3756928672</v>
      </c>
      <c r="F422" s="12">
        <f t="shared" si="129"/>
        <v>74072281.536030903</v>
      </c>
      <c r="G422" s="284"/>
      <c r="L422" s="12">
        <v>15</v>
      </c>
      <c r="M422" s="12">
        <f t="shared" si="130"/>
        <v>1683499.9999999953</v>
      </c>
      <c r="N422" s="12">
        <f t="shared" si="131"/>
        <v>649999.99999999534</v>
      </c>
      <c r="O422" s="12">
        <f t="shared" si="132"/>
        <v>1033500</v>
      </c>
      <c r="P422" s="12">
        <f t="shared" si="133"/>
        <v>68250000</v>
      </c>
    </row>
    <row r="423" spans="1:20" x14ac:dyDescent="0.25">
      <c r="A423" s="284"/>
      <c r="B423" s="80">
        <v>16</v>
      </c>
      <c r="C423" s="12">
        <f t="shared" si="126"/>
        <v>1405444.5525197759</v>
      </c>
      <c r="D423" s="12">
        <f t="shared" si="127"/>
        <v>294360.32947931252</v>
      </c>
      <c r="E423" s="12">
        <f t="shared" si="128"/>
        <v>1111084.2230404634</v>
      </c>
      <c r="F423" s="12">
        <f t="shared" si="129"/>
        <v>73777921.206551597</v>
      </c>
      <c r="G423" s="284"/>
      <c r="L423" s="12">
        <v>16</v>
      </c>
      <c r="M423" s="12">
        <f t="shared" si="130"/>
        <v>1673749.9999999953</v>
      </c>
      <c r="N423" s="12">
        <f t="shared" si="131"/>
        <v>649999.99999999534</v>
      </c>
      <c r="O423" s="12">
        <f t="shared" si="132"/>
        <v>1023750</v>
      </c>
      <c r="P423" s="12">
        <f t="shared" si="133"/>
        <v>67600000</v>
      </c>
    </row>
    <row r="424" spans="1:20" x14ac:dyDescent="0.25">
      <c r="A424" s="284"/>
      <c r="B424" s="80">
        <v>17</v>
      </c>
      <c r="C424" s="12">
        <f t="shared" si="126"/>
        <v>1405444.5525197759</v>
      </c>
      <c r="D424" s="12">
        <f t="shared" si="127"/>
        <v>298775.7344215021</v>
      </c>
      <c r="E424" s="12">
        <f t="shared" si="128"/>
        <v>1106668.8180982738</v>
      </c>
      <c r="F424" s="12">
        <f t="shared" si="129"/>
        <v>73479145.47213009</v>
      </c>
      <c r="G424" s="284"/>
      <c r="L424" s="12">
        <v>17</v>
      </c>
      <c r="M424" s="12">
        <f t="shared" si="130"/>
        <v>1663999.9999999953</v>
      </c>
      <c r="N424" s="12">
        <f t="shared" si="131"/>
        <v>649999.99999999534</v>
      </c>
      <c r="O424" s="12">
        <f t="shared" si="132"/>
        <v>1014000</v>
      </c>
      <c r="P424" s="12">
        <f t="shared" si="133"/>
        <v>66950000.000000007</v>
      </c>
    </row>
    <row r="425" spans="1:20" x14ac:dyDescent="0.25">
      <c r="A425" s="284"/>
      <c r="B425" s="80">
        <v>18</v>
      </c>
      <c r="C425" s="12">
        <f t="shared" si="126"/>
        <v>1405444.5525197759</v>
      </c>
      <c r="D425" s="12">
        <f t="shared" si="127"/>
        <v>303257.37043782463</v>
      </c>
      <c r="E425" s="12">
        <f t="shared" si="128"/>
        <v>1102187.1820819513</v>
      </c>
      <c r="F425" s="12">
        <f t="shared" si="129"/>
        <v>73175888.101692259</v>
      </c>
      <c r="G425" s="285" t="s">
        <v>275</v>
      </c>
      <c r="H425" s="68">
        <f>SUM(E408:E427)</f>
        <v>22664549.596634068</v>
      </c>
      <c r="I425" s="128">
        <f>PV(D401,B427,,-H425)</f>
        <v>16827757.617866345</v>
      </c>
      <c r="L425" s="12">
        <v>18</v>
      </c>
      <c r="M425" s="12">
        <f t="shared" si="130"/>
        <v>1654249.9999999953</v>
      </c>
      <c r="N425" s="12">
        <f t="shared" si="131"/>
        <v>649999.99999999534</v>
      </c>
      <c r="O425" s="12">
        <f t="shared" si="132"/>
        <v>1004250.0000000001</v>
      </c>
      <c r="P425" s="12">
        <f t="shared" si="133"/>
        <v>66300000.000000015</v>
      </c>
    </row>
    <row r="426" spans="1:20" x14ac:dyDescent="0.25">
      <c r="A426" s="284"/>
      <c r="B426" s="80">
        <v>19</v>
      </c>
      <c r="C426" s="12">
        <f t="shared" si="126"/>
        <v>1405444.5525197759</v>
      </c>
      <c r="D426" s="12">
        <f t="shared" si="127"/>
        <v>307806.23099439219</v>
      </c>
      <c r="E426" s="12">
        <f t="shared" si="128"/>
        <v>1097638.3215253837</v>
      </c>
      <c r="F426" s="12">
        <f t="shared" si="129"/>
        <v>72868081.870697871</v>
      </c>
      <c r="G426" s="284"/>
      <c r="L426" s="12">
        <v>19</v>
      </c>
      <c r="M426" s="12">
        <f t="shared" si="130"/>
        <v>1644499.9999999956</v>
      </c>
      <c r="N426" s="12">
        <f t="shared" si="131"/>
        <v>649999.99999999534</v>
      </c>
      <c r="O426" s="12">
        <f t="shared" si="132"/>
        <v>994500.00000000023</v>
      </c>
      <c r="P426" s="12">
        <f t="shared" si="133"/>
        <v>65650000.000000022</v>
      </c>
    </row>
    <row r="427" spans="1:20" x14ac:dyDescent="0.25">
      <c r="A427" s="284"/>
      <c r="B427" s="80">
        <v>20</v>
      </c>
      <c r="C427" s="12">
        <f t="shared" si="126"/>
        <v>1405444.5525197759</v>
      </c>
      <c r="D427" s="12">
        <f t="shared" si="127"/>
        <v>312423.32445930783</v>
      </c>
      <c r="E427" s="12">
        <f t="shared" si="128"/>
        <v>1093021.2280604681</v>
      </c>
      <c r="F427" s="12">
        <f t="shared" si="129"/>
        <v>72555658.546238557</v>
      </c>
      <c r="G427" s="284"/>
      <c r="L427" s="12">
        <v>20</v>
      </c>
      <c r="M427" s="12">
        <f t="shared" si="130"/>
        <v>1634749.9999999958</v>
      </c>
      <c r="N427" s="12">
        <f t="shared" si="131"/>
        <v>649999.99999999534</v>
      </c>
      <c r="O427" s="12">
        <f t="shared" si="132"/>
        <v>984750.00000000035</v>
      </c>
      <c r="P427" s="12">
        <f t="shared" si="133"/>
        <v>65000000.00000003</v>
      </c>
    </row>
    <row r="428" spans="1:20" x14ac:dyDescent="0.25">
      <c r="A428" s="284"/>
      <c r="B428" s="286" t="s">
        <v>276</v>
      </c>
      <c r="C428" s="286"/>
      <c r="D428" s="286"/>
      <c r="E428" s="286"/>
      <c r="F428" s="286"/>
      <c r="G428" s="284"/>
      <c r="H428" s="211" t="s">
        <v>259</v>
      </c>
      <c r="I428" s="211"/>
      <c r="J428" s="272">
        <v>0.18</v>
      </c>
      <c r="K428" t="s">
        <v>191</v>
      </c>
      <c r="L428" s="287" t="s">
        <v>276</v>
      </c>
      <c r="M428" s="287"/>
      <c r="N428" s="287"/>
      <c r="O428" s="287"/>
      <c r="P428" s="287"/>
      <c r="Q428" s="211" t="s">
        <v>259</v>
      </c>
      <c r="R428" s="211"/>
      <c r="S428" s="272">
        <v>0.18</v>
      </c>
      <c r="T428" t="s">
        <v>191</v>
      </c>
    </row>
    <row r="429" spans="1:20" x14ac:dyDescent="0.25">
      <c r="A429" s="284"/>
      <c r="B429" s="80" t="s">
        <v>267</v>
      </c>
      <c r="C429" s="44" t="s">
        <v>110</v>
      </c>
      <c r="D429" s="44" t="s">
        <v>195</v>
      </c>
      <c r="E429" s="44" t="s">
        <v>206</v>
      </c>
      <c r="F429" s="44" t="s">
        <v>196</v>
      </c>
      <c r="G429" s="284"/>
      <c r="H429" s="211" t="s">
        <v>193</v>
      </c>
      <c r="I429" s="211"/>
      <c r="J429" s="12">
        <v>23201691.899915647</v>
      </c>
      <c r="L429" s="29" t="s">
        <v>267</v>
      </c>
      <c r="M429" s="12" t="s">
        <v>110</v>
      </c>
      <c r="N429" s="12" t="s">
        <v>195</v>
      </c>
      <c r="O429" s="12" t="s">
        <v>206</v>
      </c>
      <c r="P429" s="12" t="s">
        <v>196</v>
      </c>
      <c r="Q429" s="211" t="s">
        <v>195</v>
      </c>
      <c r="R429" s="211"/>
      <c r="S429" s="12">
        <v>12999999.999999998</v>
      </c>
    </row>
    <row r="430" spans="1:20" x14ac:dyDescent="0.25">
      <c r="A430" s="284"/>
      <c r="B430" s="288">
        <v>1</v>
      </c>
      <c r="C430" s="289">
        <f>$J$429</f>
        <v>23201691.899915647</v>
      </c>
      <c r="D430" s="289">
        <f>C430-E430</f>
        <v>10141673.361592706</v>
      </c>
      <c r="E430" s="289">
        <f>F427*$J$428</f>
        <v>13060018.53832294</v>
      </c>
      <c r="F430" s="290">
        <f>F427-D430</f>
        <v>62413985.184645846</v>
      </c>
      <c r="G430" s="284"/>
      <c r="L430" s="289">
        <v>1</v>
      </c>
      <c r="M430" s="289">
        <f>N430+O430</f>
        <v>24700000.000000004</v>
      </c>
      <c r="N430" s="289">
        <f>$S$429</f>
        <v>12999999.999999998</v>
      </c>
      <c r="O430" s="289">
        <f>P427*$S$428</f>
        <v>11700000.000000006</v>
      </c>
      <c r="P430" s="289">
        <f>P427-N430</f>
        <v>52000000.00000003</v>
      </c>
    </row>
    <row r="431" spans="1:20" x14ac:dyDescent="0.25">
      <c r="A431" s="284"/>
      <c r="B431" s="288">
        <v>2</v>
      </c>
      <c r="C431" s="289">
        <f t="shared" ref="C431:C434" si="134">$J$429</f>
        <v>23201691.899915647</v>
      </c>
      <c r="D431" s="289">
        <f>C431-E431</f>
        <v>11967174.566679396</v>
      </c>
      <c r="E431" s="289">
        <f>F430*$J$428</f>
        <v>11234517.333236251</v>
      </c>
      <c r="F431" s="290">
        <f>F430-D431</f>
        <v>50446810.617966451</v>
      </c>
      <c r="G431" s="284"/>
      <c r="L431" s="289">
        <v>2</v>
      </c>
      <c r="M431" s="289">
        <f>N431+O431</f>
        <v>22360000.000000004</v>
      </c>
      <c r="N431" s="289">
        <f>$S$429</f>
        <v>12999999.999999998</v>
      </c>
      <c r="O431" s="289">
        <f>P430*$S$428</f>
        <v>9360000.0000000056</v>
      </c>
      <c r="P431" s="289">
        <f>P430-N431</f>
        <v>39000000.00000003</v>
      </c>
    </row>
    <row r="432" spans="1:20" x14ac:dyDescent="0.25">
      <c r="A432" s="284"/>
      <c r="B432" s="288">
        <v>3</v>
      </c>
      <c r="C432" s="289">
        <f t="shared" si="134"/>
        <v>23201691.899915647</v>
      </c>
      <c r="D432" s="289">
        <f t="shared" ref="D432:D434" si="135">C432-E432</f>
        <v>14121265.988681685</v>
      </c>
      <c r="E432" s="289">
        <f t="shared" ref="E432:E434" si="136">F431*$J$428</f>
        <v>9080425.9112339616</v>
      </c>
      <c r="F432" s="290">
        <f>F431-D432</f>
        <v>36325544.629284769</v>
      </c>
      <c r="G432" s="284"/>
      <c r="L432" s="289">
        <v>3</v>
      </c>
      <c r="M432" s="289">
        <f t="shared" ref="M432:M434" si="137">N432+O432</f>
        <v>20020000.000000004</v>
      </c>
      <c r="N432" s="289">
        <f t="shared" ref="N432:N434" si="138">$S$429</f>
        <v>12999999.999999998</v>
      </c>
      <c r="O432" s="289">
        <f t="shared" ref="O432:O434" si="139">P431*$S$428</f>
        <v>7020000.0000000047</v>
      </c>
      <c r="P432" s="289">
        <f>P431-N432</f>
        <v>26000000.00000003</v>
      </c>
    </row>
    <row r="433" spans="1:17" x14ac:dyDescent="0.25">
      <c r="A433" s="284"/>
      <c r="B433" s="288">
        <v>4</v>
      </c>
      <c r="C433" s="289">
        <f t="shared" si="134"/>
        <v>23201691.899915647</v>
      </c>
      <c r="D433" s="289">
        <f t="shared" si="135"/>
        <v>16663093.866644388</v>
      </c>
      <c r="E433" s="289">
        <f t="shared" si="136"/>
        <v>6538598.0332712587</v>
      </c>
      <c r="F433" s="290">
        <f t="shared" ref="F433:F434" si="140">F432-D433</f>
        <v>19662450.762640379</v>
      </c>
      <c r="G433" s="284"/>
      <c r="L433" s="289">
        <v>4</v>
      </c>
      <c r="M433" s="289">
        <f>N433+O433</f>
        <v>17680000.000000004</v>
      </c>
      <c r="N433" s="289">
        <f t="shared" si="138"/>
        <v>12999999.999999998</v>
      </c>
      <c r="O433" s="289">
        <f>P432*$S$428</f>
        <v>4680000.0000000056</v>
      </c>
      <c r="P433" s="289">
        <f t="shared" ref="P433:P434" si="141">P432-N433</f>
        <v>13000000.000000032</v>
      </c>
    </row>
    <row r="434" spans="1:17" x14ac:dyDescent="0.25">
      <c r="A434" s="284"/>
      <c r="B434" s="288">
        <v>5</v>
      </c>
      <c r="C434" s="289">
        <f t="shared" si="134"/>
        <v>23201691.899915647</v>
      </c>
      <c r="D434" s="289">
        <f t="shared" si="135"/>
        <v>19662450.762640379</v>
      </c>
      <c r="E434" s="289">
        <f t="shared" si="136"/>
        <v>3539241.1372752683</v>
      </c>
      <c r="F434" s="290">
        <f t="shared" si="140"/>
        <v>0</v>
      </c>
      <c r="G434" s="284"/>
      <c r="L434" s="289">
        <v>5</v>
      </c>
      <c r="M434" s="289">
        <f t="shared" si="137"/>
        <v>15340000.000000004</v>
      </c>
      <c r="N434" s="289">
        <f t="shared" si="138"/>
        <v>12999999.999999998</v>
      </c>
      <c r="O434" s="289">
        <f t="shared" si="139"/>
        <v>2340000.0000000056</v>
      </c>
      <c r="P434" s="289">
        <f t="shared" si="141"/>
        <v>3.3527612686157227E-8</v>
      </c>
    </row>
    <row r="435" spans="1:17" x14ac:dyDescent="0.25">
      <c r="A435" s="284"/>
      <c r="B435" s="284"/>
      <c r="C435" s="284"/>
      <c r="D435" s="284"/>
      <c r="E435" s="291">
        <f>SUM(E430:E434)</f>
        <v>43452800.953339681</v>
      </c>
      <c r="F435" s="292">
        <f>PV(J428,B434,,-E435)</f>
        <v>18993619.767732438</v>
      </c>
      <c r="G435" s="284"/>
      <c r="H435" s="131" t="s">
        <v>277</v>
      </c>
      <c r="I435" s="276">
        <f>I425+F435</f>
        <v>35821377.385598779</v>
      </c>
    </row>
    <row r="436" spans="1:17" x14ac:dyDescent="0.25">
      <c r="B436" s="180" t="s">
        <v>278</v>
      </c>
      <c r="C436" s="180"/>
      <c r="D436" s="180"/>
      <c r="E436" s="180"/>
      <c r="F436" s="180"/>
      <c r="L436" s="180" t="s">
        <v>279</v>
      </c>
      <c r="M436" s="180"/>
      <c r="N436" s="180"/>
      <c r="O436" s="180"/>
      <c r="P436" s="180"/>
      <c r="Q436" s="180"/>
    </row>
    <row r="437" spans="1:17" x14ac:dyDescent="0.25">
      <c r="B437" s="180"/>
      <c r="C437" s="180"/>
      <c r="D437" s="180"/>
      <c r="E437" s="180"/>
      <c r="F437" s="180"/>
      <c r="L437" s="180"/>
      <c r="M437" s="180"/>
      <c r="N437" s="180"/>
      <c r="O437" s="180"/>
      <c r="P437" s="180"/>
      <c r="Q437" s="180"/>
    </row>
    <row r="438" spans="1:17" x14ac:dyDescent="0.25">
      <c r="L438" s="180"/>
      <c r="M438" s="180"/>
      <c r="N438" s="180"/>
      <c r="O438" s="180"/>
      <c r="P438" s="180"/>
      <c r="Q438" s="180"/>
    </row>
    <row r="443" spans="1:17" x14ac:dyDescent="0.25">
      <c r="A443" t="s">
        <v>280</v>
      </c>
    </row>
    <row r="444" spans="1:17" x14ac:dyDescent="0.25">
      <c r="A444" t="s">
        <v>281</v>
      </c>
    </row>
    <row r="447" spans="1:17" x14ac:dyDescent="0.25">
      <c r="B447" s="44" t="s">
        <v>264</v>
      </c>
      <c r="C447" s="44" t="s">
        <v>110</v>
      </c>
      <c r="D447" s="44" t="s">
        <v>195</v>
      </c>
      <c r="E447" s="44" t="s">
        <v>206</v>
      </c>
      <c r="F447" s="44" t="s">
        <v>196</v>
      </c>
    </row>
    <row r="448" spans="1:17" x14ac:dyDescent="0.25">
      <c r="B448" s="44">
        <v>0</v>
      </c>
      <c r="C448" s="12"/>
      <c r="D448" s="12"/>
      <c r="E448" s="12"/>
      <c r="F448" s="12">
        <f>D137</f>
        <v>78000000</v>
      </c>
    </row>
    <row r="449" spans="2:6" x14ac:dyDescent="0.25">
      <c r="B449" s="44">
        <v>1</v>
      </c>
      <c r="C449" s="12">
        <f>$C$9</f>
        <v>1405444.5525197759</v>
      </c>
      <c r="D449" s="12">
        <f>C449-E449</f>
        <v>235444.55251977593</v>
      </c>
      <c r="E449" s="12">
        <f>F448*$C$7</f>
        <v>1170000</v>
      </c>
      <c r="F449" s="12">
        <f>F448-D449</f>
        <v>77764555.447480232</v>
      </c>
    </row>
    <row r="450" spans="2:6" x14ac:dyDescent="0.25">
      <c r="B450" s="44">
        <v>2</v>
      </c>
      <c r="C450" s="12">
        <f t="shared" ref="C450:C480" si="142">$C$9</f>
        <v>1405444.5525197759</v>
      </c>
      <c r="D450" s="12">
        <f t="shared" ref="D450:D512" si="143">C450-E450</f>
        <v>238976.22080757259</v>
      </c>
      <c r="E450" s="12">
        <f t="shared" ref="E450:E514" si="144">F449*$C$7</f>
        <v>1166468.3317122033</v>
      </c>
      <c r="F450" s="12">
        <f t="shared" ref="F450:F468" si="145">F449-D450</f>
        <v>77525579.226672664</v>
      </c>
    </row>
    <row r="451" spans="2:6" x14ac:dyDescent="0.25">
      <c r="B451" s="44">
        <v>3</v>
      </c>
      <c r="C451" s="12">
        <f t="shared" si="142"/>
        <v>1405444.5525197759</v>
      </c>
      <c r="D451" s="12">
        <f t="shared" si="143"/>
        <v>242560.86411968595</v>
      </c>
      <c r="E451" s="12">
        <f t="shared" si="144"/>
        <v>1162883.68840009</v>
      </c>
      <c r="F451" s="12">
        <f t="shared" si="145"/>
        <v>77283018.362552986</v>
      </c>
    </row>
    <row r="452" spans="2:6" x14ac:dyDescent="0.25">
      <c r="B452" s="44">
        <v>4</v>
      </c>
      <c r="C452" s="12">
        <f t="shared" si="142"/>
        <v>1405444.5525197759</v>
      </c>
      <c r="D452" s="12">
        <f t="shared" si="143"/>
        <v>246199.27708148118</v>
      </c>
      <c r="E452" s="12">
        <f t="shared" si="144"/>
        <v>1159245.2754382947</v>
      </c>
      <c r="F452" s="12">
        <f t="shared" si="145"/>
        <v>77036819.085471511</v>
      </c>
    </row>
    <row r="453" spans="2:6" x14ac:dyDescent="0.25">
      <c r="B453" s="44">
        <v>5</v>
      </c>
      <c r="C453" s="12">
        <f t="shared" si="142"/>
        <v>1405444.5525197759</v>
      </c>
      <c r="D453" s="12">
        <f t="shared" si="143"/>
        <v>249892.26623770338</v>
      </c>
      <c r="E453" s="12">
        <f t="shared" si="144"/>
        <v>1155552.2862820725</v>
      </c>
      <c r="F453" s="12">
        <f t="shared" si="145"/>
        <v>76786926.819233805</v>
      </c>
    </row>
    <row r="454" spans="2:6" x14ac:dyDescent="0.25">
      <c r="B454" s="44">
        <v>6</v>
      </c>
      <c r="C454" s="12">
        <f t="shared" si="142"/>
        <v>1405444.5525197759</v>
      </c>
      <c r="D454" s="12">
        <f t="shared" si="143"/>
        <v>253640.65023126896</v>
      </c>
      <c r="E454" s="12">
        <f t="shared" si="144"/>
        <v>1151803.902288507</v>
      </c>
      <c r="F454" s="12">
        <f t="shared" si="145"/>
        <v>76533286.169002533</v>
      </c>
    </row>
    <row r="455" spans="2:6" x14ac:dyDescent="0.25">
      <c r="B455" s="44">
        <v>7</v>
      </c>
      <c r="C455" s="12">
        <f t="shared" si="142"/>
        <v>1405444.5525197759</v>
      </c>
      <c r="D455" s="12">
        <f t="shared" si="143"/>
        <v>257445.25998473796</v>
      </c>
      <c r="E455" s="12">
        <f t="shared" si="144"/>
        <v>1147999.292535038</v>
      </c>
      <c r="F455" s="12">
        <f t="shared" si="145"/>
        <v>76275840.909017801</v>
      </c>
    </row>
    <row r="456" spans="2:6" x14ac:dyDescent="0.25">
      <c r="B456" s="44">
        <v>8</v>
      </c>
      <c r="C456" s="12">
        <f t="shared" si="142"/>
        <v>1405444.5525197759</v>
      </c>
      <c r="D456" s="12">
        <f t="shared" si="143"/>
        <v>261306.93888450903</v>
      </c>
      <c r="E456" s="12">
        <f t="shared" si="144"/>
        <v>1144137.6136352669</v>
      </c>
      <c r="F456" s="12">
        <f t="shared" si="145"/>
        <v>76014533.97013329</v>
      </c>
    </row>
    <row r="457" spans="2:6" x14ac:dyDescent="0.25">
      <c r="B457" s="44">
        <v>9</v>
      </c>
      <c r="C457" s="12">
        <f t="shared" si="142"/>
        <v>1405444.5525197759</v>
      </c>
      <c r="D457" s="12">
        <f t="shared" si="143"/>
        <v>265226.54296777654</v>
      </c>
      <c r="E457" s="12">
        <f t="shared" si="144"/>
        <v>1140218.0095519994</v>
      </c>
      <c r="F457" s="12">
        <f t="shared" si="145"/>
        <v>75749307.427165508</v>
      </c>
    </row>
    <row r="458" spans="2:6" x14ac:dyDescent="0.25">
      <c r="B458" s="44">
        <v>10</v>
      </c>
      <c r="C458" s="12">
        <f t="shared" si="142"/>
        <v>1405444.5525197759</v>
      </c>
      <c r="D458" s="12">
        <f t="shared" si="143"/>
        <v>269204.9411122934</v>
      </c>
      <c r="E458" s="12">
        <f t="shared" si="144"/>
        <v>1136239.6114074825</v>
      </c>
      <c r="F458" s="12">
        <f t="shared" si="145"/>
        <v>75480102.486053213</v>
      </c>
    </row>
    <row r="459" spans="2:6" x14ac:dyDescent="0.25">
      <c r="B459" s="44">
        <v>11</v>
      </c>
      <c r="C459" s="12">
        <f t="shared" si="142"/>
        <v>1405444.5525197759</v>
      </c>
      <c r="D459" s="12">
        <f t="shared" si="143"/>
        <v>273243.01522897766</v>
      </c>
      <c r="E459" s="12">
        <f t="shared" si="144"/>
        <v>1132201.5372907983</v>
      </c>
      <c r="F459" s="12">
        <f t="shared" si="145"/>
        <v>75206859.470824242</v>
      </c>
    </row>
    <row r="460" spans="2:6" x14ac:dyDescent="0.25">
      <c r="B460" s="44">
        <v>12</v>
      </c>
      <c r="C460" s="12">
        <f t="shared" si="142"/>
        <v>1405444.5525197759</v>
      </c>
      <c r="D460" s="12">
        <f t="shared" si="143"/>
        <v>277341.66045741225</v>
      </c>
      <c r="E460" s="12">
        <f t="shared" si="144"/>
        <v>1128102.8920623637</v>
      </c>
      <c r="F460" s="12">
        <f t="shared" si="145"/>
        <v>74929517.810366824</v>
      </c>
    </row>
    <row r="461" spans="2:6" x14ac:dyDescent="0.25">
      <c r="B461" s="44">
        <v>13</v>
      </c>
      <c r="C461" s="12">
        <f t="shared" si="142"/>
        <v>1405444.5525197759</v>
      </c>
      <c r="D461" s="12">
        <f t="shared" si="143"/>
        <v>281501.7853642737</v>
      </c>
      <c r="E461" s="12">
        <f t="shared" si="144"/>
        <v>1123942.7671555022</v>
      </c>
      <c r="F461" s="12">
        <f t="shared" si="145"/>
        <v>74648016.025002554</v>
      </c>
    </row>
    <row r="462" spans="2:6" x14ac:dyDescent="0.25">
      <c r="B462" s="44">
        <v>14</v>
      </c>
      <c r="C462" s="12">
        <f t="shared" si="142"/>
        <v>1405444.5525197759</v>
      </c>
      <c r="D462" s="12">
        <f t="shared" si="143"/>
        <v>285724.31214473769</v>
      </c>
      <c r="E462" s="12">
        <f t="shared" si="144"/>
        <v>1119720.2403750382</v>
      </c>
      <c r="F462" s="12">
        <f t="shared" si="145"/>
        <v>74362291.712857813</v>
      </c>
    </row>
    <row r="463" spans="2:6" x14ac:dyDescent="0.25">
      <c r="B463" s="44">
        <v>15</v>
      </c>
      <c r="C463" s="12">
        <f t="shared" si="142"/>
        <v>1405444.5525197759</v>
      </c>
      <c r="D463" s="12">
        <f t="shared" si="143"/>
        <v>290010.17682690872</v>
      </c>
      <c r="E463" s="12">
        <f t="shared" si="144"/>
        <v>1115434.3756928672</v>
      </c>
      <c r="F463" s="12">
        <f t="shared" si="145"/>
        <v>74072281.536030903</v>
      </c>
    </row>
    <row r="464" spans="2:6" x14ac:dyDescent="0.25">
      <c r="B464" s="44">
        <v>16</v>
      </c>
      <c r="C464" s="12">
        <f t="shared" si="142"/>
        <v>1405444.5525197759</v>
      </c>
      <c r="D464" s="12">
        <f t="shared" si="143"/>
        <v>294360.32947931252</v>
      </c>
      <c r="E464" s="12">
        <f t="shared" si="144"/>
        <v>1111084.2230404634</v>
      </c>
      <c r="F464" s="12">
        <f t="shared" si="145"/>
        <v>73777921.206551597</v>
      </c>
    </row>
    <row r="465" spans="2:9" x14ac:dyDescent="0.25">
      <c r="B465" s="44">
        <v>17</v>
      </c>
      <c r="C465" s="12">
        <f t="shared" si="142"/>
        <v>1405444.5525197759</v>
      </c>
      <c r="D465" s="12">
        <f t="shared" si="143"/>
        <v>298775.7344215021</v>
      </c>
      <c r="E465" s="12">
        <f t="shared" si="144"/>
        <v>1106668.8180982738</v>
      </c>
      <c r="F465" s="12">
        <f t="shared" si="145"/>
        <v>73479145.47213009</v>
      </c>
    </row>
    <row r="466" spans="2:9" x14ac:dyDescent="0.25">
      <c r="B466" s="44">
        <v>18</v>
      </c>
      <c r="C466" s="12">
        <f t="shared" si="142"/>
        <v>1405444.5525197759</v>
      </c>
      <c r="D466" s="12">
        <f t="shared" si="143"/>
        <v>303257.37043782463</v>
      </c>
      <c r="E466" s="12">
        <f t="shared" si="144"/>
        <v>1102187.1820819513</v>
      </c>
      <c r="F466" s="12">
        <f t="shared" si="145"/>
        <v>73175888.101692259</v>
      </c>
    </row>
    <row r="467" spans="2:9" x14ac:dyDescent="0.25">
      <c r="B467" s="44">
        <v>19</v>
      </c>
      <c r="C467" s="12">
        <f t="shared" si="142"/>
        <v>1405444.5525197759</v>
      </c>
      <c r="D467" s="12">
        <f t="shared" si="143"/>
        <v>307806.23099439219</v>
      </c>
      <c r="E467" s="12">
        <f t="shared" si="144"/>
        <v>1097638.3215253837</v>
      </c>
      <c r="F467" s="12">
        <f t="shared" si="145"/>
        <v>72868081.870697871</v>
      </c>
    </row>
    <row r="468" spans="2:9" x14ac:dyDescent="0.25">
      <c r="B468" s="44">
        <v>20</v>
      </c>
      <c r="C468" s="12">
        <f t="shared" si="142"/>
        <v>1405444.5525197759</v>
      </c>
      <c r="D468" s="12">
        <f t="shared" si="143"/>
        <v>312423.32445930783</v>
      </c>
      <c r="E468" s="12">
        <f t="shared" si="144"/>
        <v>1093021.2280604681</v>
      </c>
      <c r="F468" s="12">
        <f t="shared" si="145"/>
        <v>72555658.546238557</v>
      </c>
    </row>
    <row r="469" spans="2:9" x14ac:dyDescent="0.25">
      <c r="B469" s="44">
        <v>21</v>
      </c>
      <c r="C469" s="12">
        <f>$C$9</f>
        <v>1405444.5525197759</v>
      </c>
      <c r="D469" s="12">
        <f>C469-E469</f>
        <v>317109.67432619771</v>
      </c>
      <c r="E469" s="12">
        <f>F468*$C$7</f>
        <v>1088334.8781935782</v>
      </c>
      <c r="F469" s="12">
        <f>F468-D469</f>
        <v>72238548.87191236</v>
      </c>
    </row>
    <row r="470" spans="2:9" x14ac:dyDescent="0.25">
      <c r="B470" s="44">
        <v>22</v>
      </c>
      <c r="C470" s="12">
        <f t="shared" si="142"/>
        <v>1405444.5525197759</v>
      </c>
      <c r="D470" s="12">
        <f t="shared" si="143"/>
        <v>321866.31944109057</v>
      </c>
      <c r="E470" s="12">
        <f t="shared" si="144"/>
        <v>1083578.2330786854</v>
      </c>
      <c r="F470" s="12">
        <f t="shared" ref="F470:F482" si="146">F469-D470</f>
        <v>71916682.552471265</v>
      </c>
    </row>
    <row r="471" spans="2:9" x14ac:dyDescent="0.25">
      <c r="B471" s="44">
        <v>23</v>
      </c>
      <c r="C471" s="12">
        <f t="shared" si="142"/>
        <v>1405444.5525197759</v>
      </c>
      <c r="D471" s="12">
        <f t="shared" si="143"/>
        <v>326694.31423270702</v>
      </c>
      <c r="E471" s="12">
        <f t="shared" si="144"/>
        <v>1078750.2382870689</v>
      </c>
      <c r="F471" s="12">
        <f t="shared" si="146"/>
        <v>71589988.238238558</v>
      </c>
    </row>
    <row r="472" spans="2:9" x14ac:dyDescent="0.25">
      <c r="B472" s="44">
        <v>24</v>
      </c>
      <c r="C472" s="12">
        <f t="shared" si="142"/>
        <v>1405444.5525197759</v>
      </c>
      <c r="D472" s="12">
        <f t="shared" si="143"/>
        <v>331594.72894619755</v>
      </c>
      <c r="E472" s="12">
        <f t="shared" si="144"/>
        <v>1073849.8235735784</v>
      </c>
      <c r="F472" s="12">
        <f t="shared" si="146"/>
        <v>71258393.509292364</v>
      </c>
    </row>
    <row r="473" spans="2:9" x14ac:dyDescent="0.25">
      <c r="B473" s="44">
        <v>25</v>
      </c>
      <c r="C473" s="12">
        <f t="shared" si="142"/>
        <v>1405444.5525197759</v>
      </c>
      <c r="D473" s="12">
        <f t="shared" si="143"/>
        <v>336568.64988039061</v>
      </c>
      <c r="E473" s="12">
        <f t="shared" si="144"/>
        <v>1068875.9026393853</v>
      </c>
      <c r="F473" s="12">
        <f t="shared" si="146"/>
        <v>70921824.85941197</v>
      </c>
    </row>
    <row r="474" spans="2:9" x14ac:dyDescent="0.25">
      <c r="B474" s="44">
        <v>26</v>
      </c>
      <c r="C474" s="12">
        <f t="shared" si="142"/>
        <v>1405444.5525197759</v>
      </c>
      <c r="D474" s="12">
        <f t="shared" si="143"/>
        <v>341617.17962859641</v>
      </c>
      <c r="E474" s="12">
        <f t="shared" si="144"/>
        <v>1063827.3728911795</v>
      </c>
      <c r="F474" s="12">
        <f t="shared" si="146"/>
        <v>70580207.679783374</v>
      </c>
    </row>
    <row r="475" spans="2:9" x14ac:dyDescent="0.25">
      <c r="B475" s="44">
        <v>27</v>
      </c>
      <c r="C475" s="12">
        <f t="shared" si="142"/>
        <v>1405444.5525197759</v>
      </c>
      <c r="D475" s="12">
        <f t="shared" si="143"/>
        <v>346741.43732302543</v>
      </c>
      <c r="E475" s="12">
        <f t="shared" si="144"/>
        <v>1058703.1151967505</v>
      </c>
      <c r="F475" s="12">
        <f t="shared" si="146"/>
        <v>70233466.242460355</v>
      </c>
    </row>
    <row r="476" spans="2:9" x14ac:dyDescent="0.25">
      <c r="B476" s="44">
        <v>28</v>
      </c>
      <c r="C476" s="12">
        <f t="shared" si="142"/>
        <v>1405444.5525197759</v>
      </c>
      <c r="D476" s="12">
        <f t="shared" si="143"/>
        <v>351942.55888287071</v>
      </c>
      <c r="E476" s="12">
        <f t="shared" si="144"/>
        <v>1053501.9936369052</v>
      </c>
      <c r="F476" s="12">
        <f t="shared" si="146"/>
        <v>69881523.683577478</v>
      </c>
    </row>
    <row r="477" spans="2:9" x14ac:dyDescent="0.25">
      <c r="B477" s="44">
        <v>29</v>
      </c>
      <c r="C477" s="12">
        <f t="shared" si="142"/>
        <v>1405444.5525197759</v>
      </c>
      <c r="D477" s="12">
        <f t="shared" si="143"/>
        <v>357221.69726611383</v>
      </c>
      <c r="E477" s="12">
        <f t="shared" si="144"/>
        <v>1048222.8552536621</v>
      </c>
      <c r="F477" s="12">
        <f t="shared" si="146"/>
        <v>69524301.986311361</v>
      </c>
    </row>
    <row r="478" spans="2:9" x14ac:dyDescent="0.25">
      <c r="B478" s="44">
        <v>30</v>
      </c>
      <c r="C478" s="12">
        <f t="shared" si="142"/>
        <v>1405444.5525197759</v>
      </c>
      <c r="D478" s="12">
        <f t="shared" si="143"/>
        <v>362580.02272510552</v>
      </c>
      <c r="E478" s="12">
        <f t="shared" si="144"/>
        <v>1042864.5297946704</v>
      </c>
      <c r="F478" s="12">
        <f t="shared" si="146"/>
        <v>69161721.963586256</v>
      </c>
    </row>
    <row r="479" spans="2:9" x14ac:dyDescent="0.25">
      <c r="B479" s="44">
        <v>31</v>
      </c>
      <c r="C479" s="12">
        <f t="shared" si="142"/>
        <v>1405444.5525197759</v>
      </c>
      <c r="D479" s="12">
        <f t="shared" si="143"/>
        <v>368018.72306598211</v>
      </c>
      <c r="E479" s="12">
        <f t="shared" si="144"/>
        <v>1037425.8294537938</v>
      </c>
      <c r="F479" s="12">
        <f t="shared" si="146"/>
        <v>68793703.240520269</v>
      </c>
    </row>
    <row r="480" spans="2:9" x14ac:dyDescent="0.25">
      <c r="B480" s="293">
        <v>32</v>
      </c>
      <c r="C480" s="294">
        <f t="shared" si="142"/>
        <v>1405444.5525197759</v>
      </c>
      <c r="D480" s="295">
        <f>C480-E480+10000000</f>
        <v>10373539.003911972</v>
      </c>
      <c r="E480" s="295">
        <f t="shared" si="144"/>
        <v>1031905.548607804</v>
      </c>
      <c r="F480" s="295">
        <f t="shared" si="146"/>
        <v>58420164.236608297</v>
      </c>
      <c r="G480" s="296" t="s">
        <v>271</v>
      </c>
      <c r="H480" s="165"/>
      <c r="I480" s="165"/>
    </row>
    <row r="481" spans="2:8" x14ac:dyDescent="0.25">
      <c r="B481" s="44">
        <v>33</v>
      </c>
      <c r="C481" s="12">
        <f>$H$481</f>
        <v>1200030.7584722296</v>
      </c>
      <c r="D481" s="12">
        <f>C481-E481</f>
        <v>323728.29492310516</v>
      </c>
      <c r="E481" s="12">
        <f>F480*$C$7</f>
        <v>876302.46354912443</v>
      </c>
      <c r="F481" s="12">
        <f>F480-D481</f>
        <v>58096435.941685192</v>
      </c>
      <c r="G481" s="297" t="s">
        <v>282</v>
      </c>
      <c r="H481" s="24">
        <v>1200030.7584722296</v>
      </c>
    </row>
    <row r="482" spans="2:8" x14ac:dyDescent="0.25">
      <c r="B482" s="44">
        <v>34</v>
      </c>
      <c r="C482" s="12">
        <f t="shared" ref="C482:C545" si="147">$H$481</f>
        <v>1200030.7584722296</v>
      </c>
      <c r="D482" s="12">
        <f t="shared" si="143"/>
        <v>328584.21934695169</v>
      </c>
      <c r="E482" s="12">
        <f t="shared" si="144"/>
        <v>871446.53912527789</v>
      </c>
      <c r="F482" s="12">
        <f t="shared" si="146"/>
        <v>57767851.722338244</v>
      </c>
    </row>
    <row r="483" spans="2:8" x14ac:dyDescent="0.25">
      <c r="B483" s="44">
        <v>35</v>
      </c>
      <c r="C483" s="12">
        <f t="shared" si="147"/>
        <v>1200030.7584722296</v>
      </c>
      <c r="D483" s="12">
        <f>C483-E483</f>
        <v>333512.98263715592</v>
      </c>
      <c r="E483" s="12">
        <f>F482*$C$7</f>
        <v>866517.77583507367</v>
      </c>
      <c r="F483" s="12">
        <f>F482-D483</f>
        <v>57434338.739701085</v>
      </c>
    </row>
    <row r="484" spans="2:8" x14ac:dyDescent="0.25">
      <c r="B484" s="44">
        <v>36</v>
      </c>
      <c r="C484" s="12">
        <f t="shared" si="147"/>
        <v>1200030.7584722296</v>
      </c>
      <c r="D484" s="12">
        <f t="shared" si="143"/>
        <v>338515.67737671337</v>
      </c>
      <c r="E484" s="12">
        <f t="shared" si="144"/>
        <v>861515.08109551622</v>
      </c>
      <c r="F484" s="12">
        <f t="shared" ref="F484:F493" si="148">F483-D484</f>
        <v>57095823.062324375</v>
      </c>
    </row>
    <row r="485" spans="2:8" x14ac:dyDescent="0.25">
      <c r="B485" s="44">
        <v>37</v>
      </c>
      <c r="C485" s="12">
        <f t="shared" si="147"/>
        <v>1200030.7584722296</v>
      </c>
      <c r="D485" s="12">
        <f t="shared" si="143"/>
        <v>343593.41253736394</v>
      </c>
      <c r="E485" s="12">
        <f t="shared" si="144"/>
        <v>856437.34593486565</v>
      </c>
      <c r="F485" s="12">
        <f t="shared" si="148"/>
        <v>56752229.649787009</v>
      </c>
    </row>
    <row r="486" spans="2:8" x14ac:dyDescent="0.25">
      <c r="B486" s="44">
        <v>38</v>
      </c>
      <c r="C486" s="12">
        <f t="shared" si="147"/>
        <v>1200030.7584722296</v>
      </c>
      <c r="D486" s="12">
        <f t="shared" si="143"/>
        <v>348747.31372542446</v>
      </c>
      <c r="E486" s="12">
        <f t="shared" si="144"/>
        <v>851283.44474680512</v>
      </c>
      <c r="F486" s="12">
        <f t="shared" si="148"/>
        <v>56403482.336061582</v>
      </c>
    </row>
    <row r="487" spans="2:8" x14ac:dyDescent="0.25">
      <c r="B487" s="44">
        <v>39</v>
      </c>
      <c r="C487" s="12">
        <f t="shared" si="147"/>
        <v>1200030.7584722296</v>
      </c>
      <c r="D487" s="12">
        <f t="shared" si="143"/>
        <v>353978.52343130589</v>
      </c>
      <c r="E487" s="12">
        <f t="shared" si="144"/>
        <v>846052.2350409237</v>
      </c>
      <c r="F487" s="12">
        <f t="shared" si="148"/>
        <v>56049503.812630273</v>
      </c>
    </row>
    <row r="488" spans="2:8" x14ac:dyDescent="0.25">
      <c r="B488" s="44">
        <v>40</v>
      </c>
      <c r="C488" s="12">
        <f t="shared" si="147"/>
        <v>1200030.7584722296</v>
      </c>
      <c r="D488" s="12">
        <f t="shared" si="143"/>
        <v>359288.2012827755</v>
      </c>
      <c r="E488" s="12">
        <f t="shared" si="144"/>
        <v>840742.55718945409</v>
      </c>
      <c r="F488" s="12">
        <f t="shared" si="148"/>
        <v>55690215.611347497</v>
      </c>
    </row>
    <row r="489" spans="2:8" x14ac:dyDescent="0.25">
      <c r="B489" s="44">
        <v>41</v>
      </c>
      <c r="C489" s="12">
        <f t="shared" si="147"/>
        <v>1200030.7584722296</v>
      </c>
      <c r="D489" s="12">
        <f t="shared" si="143"/>
        <v>364677.52430201718</v>
      </c>
      <c r="E489" s="12">
        <f t="shared" si="144"/>
        <v>835353.23417021241</v>
      </c>
      <c r="F489" s="12">
        <f t="shared" si="148"/>
        <v>55325538.087045476</v>
      </c>
    </row>
    <row r="490" spans="2:8" x14ac:dyDescent="0.25">
      <c r="B490" s="44">
        <v>42</v>
      </c>
      <c r="C490" s="12">
        <f t="shared" si="147"/>
        <v>1200030.7584722296</v>
      </c>
      <c r="D490" s="12">
        <f t="shared" si="143"/>
        <v>370147.68716654752</v>
      </c>
      <c r="E490" s="12">
        <f t="shared" si="144"/>
        <v>829883.07130568207</v>
      </c>
      <c r="F490" s="12">
        <f t="shared" si="148"/>
        <v>54955390.399878927</v>
      </c>
    </row>
    <row r="491" spans="2:8" x14ac:dyDescent="0.25">
      <c r="B491" s="44">
        <v>43</v>
      </c>
      <c r="C491" s="12">
        <f t="shared" si="147"/>
        <v>1200030.7584722296</v>
      </c>
      <c r="D491" s="12">
        <f t="shared" si="143"/>
        <v>375699.90247404575</v>
      </c>
      <c r="E491" s="12">
        <f t="shared" si="144"/>
        <v>824330.85599818383</v>
      </c>
      <c r="F491" s="12">
        <f t="shared" si="148"/>
        <v>54579690.497404881</v>
      </c>
    </row>
    <row r="492" spans="2:8" x14ac:dyDescent="0.25">
      <c r="B492" s="44">
        <v>44</v>
      </c>
      <c r="C492" s="12">
        <f t="shared" si="147"/>
        <v>1200030.7584722296</v>
      </c>
      <c r="D492" s="12">
        <f t="shared" si="143"/>
        <v>381335.40101115638</v>
      </c>
      <c r="E492" s="12">
        <f t="shared" si="144"/>
        <v>818695.3574610732</v>
      </c>
      <c r="F492" s="12">
        <f t="shared" si="148"/>
        <v>54198355.096393727</v>
      </c>
    </row>
    <row r="493" spans="2:8" x14ac:dyDescent="0.25">
      <c r="B493" s="44">
        <v>45</v>
      </c>
      <c r="C493" s="12">
        <f t="shared" si="147"/>
        <v>1200030.7584722296</v>
      </c>
      <c r="D493" s="12">
        <f t="shared" si="143"/>
        <v>387055.43202632375</v>
      </c>
      <c r="E493" s="12">
        <f t="shared" si="144"/>
        <v>812975.32644590584</v>
      </c>
      <c r="F493" s="12">
        <f t="shared" si="148"/>
        <v>53811299.6643674</v>
      </c>
    </row>
    <row r="494" spans="2:8" x14ac:dyDescent="0.25">
      <c r="B494" s="44">
        <v>46</v>
      </c>
      <c r="C494" s="12">
        <f t="shared" si="147"/>
        <v>1200030.7584722296</v>
      </c>
      <c r="D494" s="12">
        <f>C494-E494</f>
        <v>392861.26350671856</v>
      </c>
      <c r="E494" s="12">
        <f>F493*$C$7</f>
        <v>807169.49496551102</v>
      </c>
      <c r="F494" s="12">
        <f>F493-D494</f>
        <v>53418438.400860682</v>
      </c>
    </row>
    <row r="495" spans="2:8" x14ac:dyDescent="0.25">
      <c r="B495" s="44">
        <v>47</v>
      </c>
      <c r="C495" s="12">
        <f t="shared" si="147"/>
        <v>1200030.7584722296</v>
      </c>
      <c r="D495" s="12">
        <f t="shared" si="143"/>
        <v>398754.18245931936</v>
      </c>
      <c r="E495" s="12">
        <f t="shared" si="144"/>
        <v>801276.57601291023</v>
      </c>
      <c r="F495" s="12">
        <f t="shared" ref="F495:F504" si="149">F494-D495</f>
        <v>53019684.218401365</v>
      </c>
    </row>
    <row r="496" spans="2:8" x14ac:dyDescent="0.25">
      <c r="B496" s="44">
        <v>48</v>
      </c>
      <c r="C496" s="12">
        <f t="shared" si="147"/>
        <v>1200030.7584722296</v>
      </c>
      <c r="D496" s="12">
        <f t="shared" si="143"/>
        <v>404735.49519620917</v>
      </c>
      <c r="E496" s="12">
        <f t="shared" si="144"/>
        <v>795295.26327602041</v>
      </c>
      <c r="F496" s="12">
        <f t="shared" si="149"/>
        <v>52614948.723205157</v>
      </c>
    </row>
    <row r="497" spans="2:6" x14ac:dyDescent="0.25">
      <c r="B497" s="44">
        <v>49</v>
      </c>
      <c r="C497" s="12">
        <f t="shared" si="147"/>
        <v>1200030.7584722296</v>
      </c>
      <c r="D497" s="12">
        <f t="shared" si="143"/>
        <v>410806.52762415225</v>
      </c>
      <c r="E497" s="12">
        <f t="shared" si="144"/>
        <v>789224.23084807734</v>
      </c>
      <c r="F497" s="12">
        <f t="shared" si="149"/>
        <v>52204142.195581004</v>
      </c>
    </row>
    <row r="498" spans="2:6" x14ac:dyDescent="0.25">
      <c r="B498" s="44">
        <v>50</v>
      </c>
      <c r="C498" s="12">
        <f t="shared" si="147"/>
        <v>1200030.7584722296</v>
      </c>
      <c r="D498" s="12">
        <f t="shared" si="143"/>
        <v>416968.62553851458</v>
      </c>
      <c r="E498" s="12">
        <f t="shared" si="144"/>
        <v>783062.13293371501</v>
      </c>
      <c r="F498" s="12">
        <f t="shared" si="149"/>
        <v>51787173.570042491</v>
      </c>
    </row>
    <row r="499" spans="2:6" x14ac:dyDescent="0.25">
      <c r="B499" s="44">
        <v>51</v>
      </c>
      <c r="C499" s="12">
        <f t="shared" si="147"/>
        <v>1200030.7584722296</v>
      </c>
      <c r="D499" s="12">
        <f t="shared" si="143"/>
        <v>423223.15492159221</v>
      </c>
      <c r="E499" s="12">
        <f t="shared" si="144"/>
        <v>776807.60355063737</v>
      </c>
      <c r="F499" s="12">
        <f t="shared" si="149"/>
        <v>51363950.4151209</v>
      </c>
    </row>
    <row r="500" spans="2:6" x14ac:dyDescent="0.25">
      <c r="B500" s="44">
        <v>52</v>
      </c>
      <c r="C500" s="12">
        <f t="shared" si="147"/>
        <v>1200030.7584722296</v>
      </c>
      <c r="D500" s="12">
        <f t="shared" si="143"/>
        <v>429571.50224541617</v>
      </c>
      <c r="E500" s="12">
        <f t="shared" si="144"/>
        <v>770459.25622681342</v>
      </c>
      <c r="F500" s="12">
        <f t="shared" si="149"/>
        <v>50934378.912875481</v>
      </c>
    </row>
    <row r="501" spans="2:6" x14ac:dyDescent="0.25">
      <c r="B501" s="44">
        <v>53</v>
      </c>
      <c r="C501" s="12">
        <f t="shared" si="147"/>
        <v>1200030.7584722296</v>
      </c>
      <c r="D501" s="12">
        <f t="shared" si="143"/>
        <v>436015.07477909746</v>
      </c>
      <c r="E501" s="12">
        <f t="shared" si="144"/>
        <v>764015.68369313213</v>
      </c>
      <c r="F501" s="12">
        <f t="shared" si="149"/>
        <v>50498363.83809638</v>
      </c>
    </row>
    <row r="502" spans="2:6" x14ac:dyDescent="0.25">
      <c r="B502" s="44">
        <v>54</v>
      </c>
      <c r="C502" s="12">
        <f t="shared" si="147"/>
        <v>1200030.7584722296</v>
      </c>
      <c r="D502" s="12">
        <f t="shared" si="143"/>
        <v>442555.30090078386</v>
      </c>
      <c r="E502" s="12">
        <f t="shared" si="144"/>
        <v>757475.45757144573</v>
      </c>
      <c r="F502" s="12">
        <f t="shared" si="149"/>
        <v>50055808.537195593</v>
      </c>
    </row>
    <row r="503" spans="2:6" x14ac:dyDescent="0.25">
      <c r="B503" s="44">
        <v>55</v>
      </c>
      <c r="C503" s="12">
        <f t="shared" si="147"/>
        <v>1200030.7584722296</v>
      </c>
      <c r="D503" s="12">
        <f t="shared" si="143"/>
        <v>449193.63041429571</v>
      </c>
      <c r="E503" s="12">
        <f t="shared" si="144"/>
        <v>750837.12805793388</v>
      </c>
      <c r="F503" s="12">
        <f t="shared" si="149"/>
        <v>49606614.906781301</v>
      </c>
    </row>
    <row r="504" spans="2:6" x14ac:dyDescent="0.25">
      <c r="B504" s="44">
        <v>56</v>
      </c>
      <c r="C504" s="12">
        <f t="shared" si="147"/>
        <v>1200030.7584722296</v>
      </c>
      <c r="D504" s="12">
        <f t="shared" si="143"/>
        <v>455931.53487051011</v>
      </c>
      <c r="E504" s="12">
        <f t="shared" si="144"/>
        <v>744099.22360171948</v>
      </c>
      <c r="F504" s="12">
        <f t="shared" si="149"/>
        <v>49150683.371910788</v>
      </c>
    </row>
    <row r="505" spans="2:6" x14ac:dyDescent="0.25">
      <c r="B505" s="44">
        <v>57</v>
      </c>
      <c r="C505" s="12">
        <f t="shared" si="147"/>
        <v>1200030.7584722296</v>
      </c>
      <c r="D505" s="12">
        <f>C505-E505</f>
        <v>462770.50789356779</v>
      </c>
      <c r="E505" s="12">
        <f>F504*$C$7</f>
        <v>737260.2505786618</v>
      </c>
      <c r="F505" s="12">
        <f>F504-D505</f>
        <v>48687912.864017218</v>
      </c>
    </row>
    <row r="506" spans="2:6" x14ac:dyDescent="0.25">
      <c r="B506" s="44">
        <v>58</v>
      </c>
      <c r="C506" s="12">
        <f t="shared" si="147"/>
        <v>1200030.7584722296</v>
      </c>
      <c r="D506" s="12">
        <f t="shared" si="143"/>
        <v>469712.06551197136</v>
      </c>
      <c r="E506" s="12">
        <f t="shared" si="144"/>
        <v>730318.69296025822</v>
      </c>
      <c r="F506" s="12">
        <f t="shared" ref="F506:F512" si="150">F505-D506</f>
        <v>48218200.798505247</v>
      </c>
    </row>
    <row r="507" spans="2:6" x14ac:dyDescent="0.25">
      <c r="B507" s="44">
        <v>59</v>
      </c>
      <c r="C507" s="12">
        <f t="shared" si="147"/>
        <v>1200030.7584722296</v>
      </c>
      <c r="D507" s="12">
        <f t="shared" si="143"/>
        <v>476757.74649465096</v>
      </c>
      <c r="E507" s="12">
        <f t="shared" si="144"/>
        <v>723273.01197757863</v>
      </c>
      <c r="F507" s="12">
        <f t="shared" si="150"/>
        <v>47741443.052010596</v>
      </c>
    </row>
    <row r="508" spans="2:6" x14ac:dyDescent="0.25">
      <c r="B508" s="44">
        <v>60</v>
      </c>
      <c r="C508" s="12">
        <f t="shared" si="147"/>
        <v>1200030.7584722296</v>
      </c>
      <c r="D508" s="12">
        <f t="shared" si="143"/>
        <v>483909.11269207066</v>
      </c>
      <c r="E508" s="12">
        <f t="shared" si="144"/>
        <v>716121.64578015893</v>
      </c>
      <c r="F508" s="12">
        <f t="shared" si="150"/>
        <v>47257533.939318523</v>
      </c>
    </row>
    <row r="509" spans="2:6" x14ac:dyDescent="0.25">
      <c r="B509" s="44">
        <v>61</v>
      </c>
      <c r="C509" s="12">
        <f t="shared" si="147"/>
        <v>1200030.7584722296</v>
      </c>
      <c r="D509" s="12">
        <f t="shared" si="143"/>
        <v>491167.74938245176</v>
      </c>
      <c r="E509" s="12">
        <f t="shared" si="144"/>
        <v>708863.00908977783</v>
      </c>
      <c r="F509" s="12">
        <f t="shared" si="150"/>
        <v>46766366.189936072</v>
      </c>
    </row>
    <row r="510" spans="2:6" x14ac:dyDescent="0.25">
      <c r="B510" s="44">
        <v>62</v>
      </c>
      <c r="C510" s="12">
        <f t="shared" si="147"/>
        <v>1200030.7584722296</v>
      </c>
      <c r="D510" s="12">
        <f t="shared" si="143"/>
        <v>498535.26562318858</v>
      </c>
      <c r="E510" s="12">
        <f t="shared" si="144"/>
        <v>701495.49284904101</v>
      </c>
      <c r="F510" s="12">
        <f t="shared" si="150"/>
        <v>46267830.924312882</v>
      </c>
    </row>
    <row r="511" spans="2:6" x14ac:dyDescent="0.25">
      <c r="B511" s="44">
        <v>63</v>
      </c>
      <c r="C511" s="12">
        <f t="shared" si="147"/>
        <v>1200030.7584722296</v>
      </c>
      <c r="D511" s="12">
        <f t="shared" si="143"/>
        <v>506013.2946075364</v>
      </c>
      <c r="E511" s="12">
        <f t="shared" si="144"/>
        <v>694017.46386469319</v>
      </c>
      <c r="F511" s="12">
        <f t="shared" si="150"/>
        <v>45761817.629705347</v>
      </c>
    </row>
    <row r="512" spans="2:6" x14ac:dyDescent="0.25">
      <c r="B512" s="44">
        <v>64</v>
      </c>
      <c r="C512" s="12">
        <f t="shared" si="147"/>
        <v>1200030.7584722296</v>
      </c>
      <c r="D512" s="12">
        <f t="shared" si="143"/>
        <v>513603.49402664939</v>
      </c>
      <c r="E512" s="12">
        <f t="shared" si="144"/>
        <v>686427.26444558019</v>
      </c>
      <c r="F512" s="12">
        <f t="shared" si="150"/>
        <v>45248214.135678701</v>
      </c>
    </row>
    <row r="513" spans="2:6" x14ac:dyDescent="0.25">
      <c r="B513" s="44">
        <v>65</v>
      </c>
      <c r="C513" s="12">
        <f t="shared" si="147"/>
        <v>1200030.7584722296</v>
      </c>
      <c r="D513" s="12">
        <f>C513-E513</f>
        <v>521307.54643704905</v>
      </c>
      <c r="E513" s="12">
        <f>F512*$C$7</f>
        <v>678723.21203518054</v>
      </c>
      <c r="F513" s="12">
        <f>F512-D513</f>
        <v>44726906.589241654</v>
      </c>
    </row>
    <row r="514" spans="2:6" x14ac:dyDescent="0.25">
      <c r="B514" s="44">
        <v>66</v>
      </c>
      <c r="C514" s="12">
        <f t="shared" si="147"/>
        <v>1200030.7584722296</v>
      </c>
      <c r="D514" s="12">
        <f t="shared" ref="D514:D526" si="151">C514-E514</f>
        <v>529127.15963360481</v>
      </c>
      <c r="E514" s="12">
        <f t="shared" si="144"/>
        <v>670903.59883862478</v>
      </c>
      <c r="F514" s="12">
        <f t="shared" ref="F514:F526" si="152">F513-D514</f>
        <v>44197779.429608047</v>
      </c>
    </row>
    <row r="515" spans="2:6" x14ac:dyDescent="0.25">
      <c r="B515" s="44">
        <v>67</v>
      </c>
      <c r="C515" s="12">
        <f t="shared" si="147"/>
        <v>1200030.7584722296</v>
      </c>
      <c r="D515" s="12">
        <f t="shared" si="151"/>
        <v>537064.06702810887</v>
      </c>
      <c r="E515" s="12">
        <f t="shared" ref="E515:E526" si="153">F514*$C$7</f>
        <v>662966.69144412072</v>
      </c>
      <c r="F515" s="12">
        <f t="shared" si="152"/>
        <v>43660715.362579942</v>
      </c>
    </row>
    <row r="516" spans="2:6" x14ac:dyDescent="0.25">
      <c r="B516" s="44">
        <v>68</v>
      </c>
      <c r="C516" s="12">
        <f t="shared" si="147"/>
        <v>1200030.7584722296</v>
      </c>
      <c r="D516" s="12">
        <f t="shared" si="151"/>
        <v>545120.02803353046</v>
      </c>
      <c r="E516" s="12">
        <f t="shared" si="153"/>
        <v>654910.73043869913</v>
      </c>
      <c r="F516" s="12">
        <f t="shared" si="152"/>
        <v>43115595.33454641</v>
      </c>
    </row>
    <row r="517" spans="2:6" x14ac:dyDescent="0.25">
      <c r="B517" s="44">
        <v>69</v>
      </c>
      <c r="C517" s="12">
        <f t="shared" si="147"/>
        <v>1200030.7584722296</v>
      </c>
      <c r="D517" s="12">
        <f t="shared" si="151"/>
        <v>553296.82845403347</v>
      </c>
      <c r="E517" s="12">
        <f t="shared" si="153"/>
        <v>646733.93001819612</v>
      </c>
      <c r="F517" s="12">
        <f t="shared" si="152"/>
        <v>42562298.506092377</v>
      </c>
    </row>
    <row r="518" spans="2:6" x14ac:dyDescent="0.25">
      <c r="B518" s="44">
        <v>70</v>
      </c>
      <c r="C518" s="12">
        <f t="shared" si="147"/>
        <v>1200030.7584722296</v>
      </c>
      <c r="D518" s="12">
        <f t="shared" si="151"/>
        <v>561596.28088084399</v>
      </c>
      <c r="E518" s="12">
        <f t="shared" si="153"/>
        <v>638434.4775913856</v>
      </c>
      <c r="F518" s="12">
        <f t="shared" si="152"/>
        <v>42000702.225211531</v>
      </c>
    </row>
    <row r="519" spans="2:6" x14ac:dyDescent="0.25">
      <c r="B519" s="44">
        <v>71</v>
      </c>
      <c r="C519" s="12">
        <f t="shared" si="147"/>
        <v>1200030.7584722296</v>
      </c>
      <c r="D519" s="12">
        <f t="shared" si="151"/>
        <v>570020.22509405669</v>
      </c>
      <c r="E519" s="12">
        <f t="shared" si="153"/>
        <v>630010.5333781729</v>
      </c>
      <c r="F519" s="12">
        <f t="shared" si="152"/>
        <v>41430682.000117473</v>
      </c>
    </row>
    <row r="520" spans="2:6" x14ac:dyDescent="0.25">
      <c r="B520" s="44">
        <v>72</v>
      </c>
      <c r="C520" s="12">
        <f t="shared" si="147"/>
        <v>1200030.7584722296</v>
      </c>
      <c r="D520" s="12">
        <f t="shared" si="151"/>
        <v>578570.52847046754</v>
      </c>
      <c r="E520" s="12">
        <f t="shared" si="153"/>
        <v>621460.23000176204</v>
      </c>
      <c r="F520" s="12">
        <f t="shared" si="152"/>
        <v>40852111.471647009</v>
      </c>
    </row>
    <row r="521" spans="2:6" x14ac:dyDescent="0.25">
      <c r="B521" s="44">
        <v>73</v>
      </c>
      <c r="C521" s="12">
        <f t="shared" si="147"/>
        <v>1200030.7584722296</v>
      </c>
      <c r="D521" s="12">
        <f t="shared" si="151"/>
        <v>587249.08639752446</v>
      </c>
      <c r="E521" s="12">
        <f t="shared" si="153"/>
        <v>612781.67207470513</v>
      </c>
      <c r="F521" s="12">
        <f t="shared" si="152"/>
        <v>40264862.385249488</v>
      </c>
    </row>
    <row r="522" spans="2:6" x14ac:dyDescent="0.25">
      <c r="B522" s="44">
        <v>74</v>
      </c>
      <c r="C522" s="12">
        <f t="shared" si="147"/>
        <v>1200030.7584722296</v>
      </c>
      <c r="D522" s="12">
        <f t="shared" si="151"/>
        <v>596057.82269348728</v>
      </c>
      <c r="E522" s="12">
        <f t="shared" si="153"/>
        <v>603972.93577874231</v>
      </c>
      <c r="F522" s="12">
        <f t="shared" si="152"/>
        <v>39668804.562555999</v>
      </c>
    </row>
    <row r="523" spans="2:6" x14ac:dyDescent="0.25">
      <c r="B523" s="44">
        <v>75</v>
      </c>
      <c r="C523" s="12">
        <f t="shared" si="147"/>
        <v>1200030.7584722296</v>
      </c>
      <c r="D523" s="12">
        <f t="shared" si="151"/>
        <v>604998.69003388961</v>
      </c>
      <c r="E523" s="12">
        <f t="shared" si="153"/>
        <v>595032.06843833998</v>
      </c>
      <c r="F523" s="12">
        <f t="shared" si="152"/>
        <v>39063805.872522108</v>
      </c>
    </row>
    <row r="524" spans="2:6" x14ac:dyDescent="0.25">
      <c r="B524" s="44">
        <v>76</v>
      </c>
      <c r="C524" s="12">
        <f t="shared" si="147"/>
        <v>1200030.7584722296</v>
      </c>
      <c r="D524" s="12">
        <f t="shared" si="151"/>
        <v>614073.67038439796</v>
      </c>
      <c r="E524" s="12">
        <f t="shared" si="153"/>
        <v>585957.08808783162</v>
      </c>
      <c r="F524" s="12">
        <f t="shared" si="152"/>
        <v>38449732.202137709</v>
      </c>
    </row>
    <row r="525" spans="2:6" x14ac:dyDescent="0.25">
      <c r="B525" s="44">
        <v>77</v>
      </c>
      <c r="C525" s="12">
        <f t="shared" si="147"/>
        <v>1200030.7584722296</v>
      </c>
      <c r="D525" s="12">
        <f t="shared" si="151"/>
        <v>623284.77544016403</v>
      </c>
      <c r="E525" s="12">
        <f t="shared" si="153"/>
        <v>576745.98303206556</v>
      </c>
      <c r="F525" s="12">
        <f t="shared" si="152"/>
        <v>37826447.426697545</v>
      </c>
    </row>
    <row r="526" spans="2:6" x14ac:dyDescent="0.25">
      <c r="B526" s="44">
        <v>78</v>
      </c>
      <c r="C526" s="12">
        <f t="shared" si="147"/>
        <v>1200030.7584722296</v>
      </c>
      <c r="D526" s="12">
        <f t="shared" si="151"/>
        <v>632634.04707176646</v>
      </c>
      <c r="E526" s="12">
        <f t="shared" si="153"/>
        <v>567396.71140046313</v>
      </c>
      <c r="F526" s="12">
        <f t="shared" si="152"/>
        <v>37193813.379625775</v>
      </c>
    </row>
    <row r="527" spans="2:6" x14ac:dyDescent="0.25">
      <c r="B527" s="44">
        <v>79</v>
      </c>
      <c r="C527" s="12">
        <f t="shared" si="147"/>
        <v>1200030.7584722296</v>
      </c>
      <c r="D527" s="12">
        <f>C527-E527</f>
        <v>642123.55777784297</v>
      </c>
      <c r="E527" s="12">
        <f>F526*$C$7</f>
        <v>557907.20069438661</v>
      </c>
      <c r="F527" s="12">
        <f>F526-D527</f>
        <v>36551689.821847931</v>
      </c>
    </row>
    <row r="528" spans="2:6" x14ac:dyDescent="0.25">
      <c r="B528" s="44">
        <v>80</v>
      </c>
      <c r="C528" s="12">
        <f t="shared" si="147"/>
        <v>1200030.7584722296</v>
      </c>
      <c r="D528" s="12">
        <f t="shared" ref="D528:D540" si="154">C528-E528</f>
        <v>651755.41114451061</v>
      </c>
      <c r="E528" s="12">
        <f t="shared" ref="E528:E540" si="155">F527*$C$7</f>
        <v>548275.34732771898</v>
      </c>
      <c r="F528" s="12">
        <f t="shared" ref="F528:F540" si="156">F527-D528</f>
        <v>35899934.410703421</v>
      </c>
    </row>
    <row r="529" spans="2:6" x14ac:dyDescent="0.25">
      <c r="B529" s="44">
        <v>81</v>
      </c>
      <c r="C529" s="12">
        <f t="shared" si="147"/>
        <v>1200030.7584722296</v>
      </c>
      <c r="D529" s="12">
        <f t="shared" si="154"/>
        <v>661531.74231167824</v>
      </c>
      <c r="E529" s="12">
        <f t="shared" si="155"/>
        <v>538499.01616055134</v>
      </c>
      <c r="F529" s="12">
        <f t="shared" si="156"/>
        <v>35238402.668391742</v>
      </c>
    </row>
    <row r="530" spans="2:6" x14ac:dyDescent="0.25">
      <c r="B530" s="44">
        <v>82</v>
      </c>
      <c r="C530" s="12">
        <f t="shared" si="147"/>
        <v>1200030.7584722296</v>
      </c>
      <c r="D530" s="12">
        <f t="shared" si="154"/>
        <v>671454.71844635345</v>
      </c>
      <c r="E530" s="12">
        <f t="shared" si="155"/>
        <v>528576.04002587614</v>
      </c>
      <c r="F530" s="12">
        <f t="shared" si="156"/>
        <v>34566947.94994539</v>
      </c>
    </row>
    <row r="531" spans="2:6" x14ac:dyDescent="0.25">
      <c r="B531" s="44">
        <v>83</v>
      </c>
      <c r="C531" s="12">
        <f t="shared" si="147"/>
        <v>1200030.7584722296</v>
      </c>
      <c r="D531" s="12">
        <f t="shared" si="154"/>
        <v>681526.53922304884</v>
      </c>
      <c r="E531" s="12">
        <f t="shared" si="155"/>
        <v>518504.21924918081</v>
      </c>
      <c r="F531" s="12">
        <f t="shared" si="156"/>
        <v>33885421.410722345</v>
      </c>
    </row>
    <row r="532" spans="2:6" x14ac:dyDescent="0.25">
      <c r="B532" s="44">
        <v>84</v>
      </c>
      <c r="C532" s="12">
        <f t="shared" si="147"/>
        <v>1200030.7584722296</v>
      </c>
      <c r="D532" s="12">
        <f t="shared" si="154"/>
        <v>691749.43731139437</v>
      </c>
      <c r="E532" s="12">
        <f t="shared" si="155"/>
        <v>508281.32116083516</v>
      </c>
      <c r="F532" s="12">
        <f t="shared" si="156"/>
        <v>33193671.973410949</v>
      </c>
    </row>
    <row r="533" spans="2:6" x14ac:dyDescent="0.25">
      <c r="B533" s="44">
        <v>85</v>
      </c>
      <c r="C533" s="12">
        <f t="shared" si="147"/>
        <v>1200030.7584722296</v>
      </c>
      <c r="D533" s="12">
        <f t="shared" si="154"/>
        <v>702125.67887106538</v>
      </c>
      <c r="E533" s="12">
        <f t="shared" si="155"/>
        <v>497905.07960116421</v>
      </c>
      <c r="F533" s="12">
        <f t="shared" si="156"/>
        <v>32491546.294539884</v>
      </c>
    </row>
    <row r="534" spans="2:6" x14ac:dyDescent="0.25">
      <c r="B534" s="44">
        <v>86</v>
      </c>
      <c r="C534" s="12">
        <f t="shared" si="147"/>
        <v>1200030.7584722296</v>
      </c>
      <c r="D534" s="12">
        <f t="shared" si="154"/>
        <v>712657.56405413128</v>
      </c>
      <c r="E534" s="12">
        <f t="shared" si="155"/>
        <v>487373.19441809825</v>
      </c>
      <c r="F534" s="12">
        <f t="shared" si="156"/>
        <v>31778888.730485752</v>
      </c>
    </row>
    <row r="535" spans="2:6" x14ac:dyDescent="0.25">
      <c r="B535" s="44">
        <v>87</v>
      </c>
      <c r="C535" s="12">
        <f t="shared" si="147"/>
        <v>1200030.7584722296</v>
      </c>
      <c r="D535" s="12">
        <f t="shared" si="154"/>
        <v>723347.42751494329</v>
      </c>
      <c r="E535" s="12">
        <f t="shared" si="155"/>
        <v>476683.33095728629</v>
      </c>
      <c r="F535" s="12">
        <f t="shared" si="156"/>
        <v>31055541.302970808</v>
      </c>
    </row>
    <row r="536" spans="2:6" x14ac:dyDescent="0.25">
      <c r="B536" s="44">
        <v>88</v>
      </c>
      <c r="C536" s="12">
        <f t="shared" si="147"/>
        <v>1200030.7584722296</v>
      </c>
      <c r="D536" s="12">
        <f t="shared" si="154"/>
        <v>734197.6389276674</v>
      </c>
      <c r="E536" s="12">
        <f t="shared" si="155"/>
        <v>465833.11954456213</v>
      </c>
      <c r="F536" s="12">
        <f t="shared" si="156"/>
        <v>30321343.66404314</v>
      </c>
    </row>
    <row r="537" spans="2:6" x14ac:dyDescent="0.25">
      <c r="B537" s="44">
        <v>89</v>
      </c>
      <c r="C537" s="12">
        <f t="shared" si="147"/>
        <v>1200030.7584722296</v>
      </c>
      <c r="D537" s="12">
        <f t="shared" si="154"/>
        <v>745210.60351158259</v>
      </c>
      <c r="E537" s="12">
        <f t="shared" si="155"/>
        <v>454820.15496064705</v>
      </c>
      <c r="F537" s="12">
        <f t="shared" si="156"/>
        <v>29576133.060531557</v>
      </c>
    </row>
    <row r="538" spans="2:6" x14ac:dyDescent="0.25">
      <c r="B538" s="44">
        <v>90</v>
      </c>
      <c r="C538" s="12">
        <f t="shared" si="147"/>
        <v>1200030.7584722296</v>
      </c>
      <c r="D538" s="12">
        <f t="shared" si="154"/>
        <v>756388.76256425632</v>
      </c>
      <c r="E538" s="12">
        <f t="shared" si="155"/>
        <v>443641.99590797332</v>
      </c>
      <c r="F538" s="12">
        <f t="shared" si="156"/>
        <v>28819744.2979673</v>
      </c>
    </row>
    <row r="539" spans="2:6" x14ac:dyDescent="0.25">
      <c r="B539" s="44">
        <v>91</v>
      </c>
      <c r="C539" s="12">
        <f t="shared" si="147"/>
        <v>1200030.7584722296</v>
      </c>
      <c r="D539" s="12">
        <f t="shared" si="154"/>
        <v>767734.59400272008</v>
      </c>
      <c r="E539" s="12">
        <f t="shared" si="155"/>
        <v>432296.1644695095</v>
      </c>
      <c r="F539" s="12">
        <f t="shared" si="156"/>
        <v>28052009.70396458</v>
      </c>
    </row>
    <row r="540" spans="2:6" x14ac:dyDescent="0.25">
      <c r="B540" s="44">
        <v>92</v>
      </c>
      <c r="C540" s="12">
        <f t="shared" si="147"/>
        <v>1200030.7584722296</v>
      </c>
      <c r="D540" s="12">
        <f t="shared" si="154"/>
        <v>779250.61291276093</v>
      </c>
      <c r="E540" s="12">
        <f t="shared" si="155"/>
        <v>420780.14555946866</v>
      </c>
      <c r="F540" s="12">
        <f t="shared" si="156"/>
        <v>27272759.091051821</v>
      </c>
    </row>
    <row r="541" spans="2:6" x14ac:dyDescent="0.25">
      <c r="B541" s="44">
        <v>93</v>
      </c>
      <c r="C541" s="12">
        <f t="shared" si="147"/>
        <v>1200030.7584722296</v>
      </c>
      <c r="D541" s="12">
        <f>C541-E541</f>
        <v>790939.37210645224</v>
      </c>
      <c r="E541" s="12">
        <f>F540*$C$7</f>
        <v>409091.38636577729</v>
      </c>
      <c r="F541" s="12">
        <f>F540-D541</f>
        <v>26481819.718945369</v>
      </c>
    </row>
    <row r="542" spans="2:6" x14ac:dyDescent="0.25">
      <c r="B542" s="44">
        <v>94</v>
      </c>
      <c r="C542" s="12">
        <f t="shared" si="147"/>
        <v>1200030.7584722296</v>
      </c>
      <c r="D542" s="12">
        <f t="shared" ref="D542:D556" si="157">C542-E542</f>
        <v>802803.46268804907</v>
      </c>
      <c r="E542" s="12">
        <f t="shared" ref="E542:E556" si="158">F541*$C$7</f>
        <v>397227.29578418052</v>
      </c>
      <c r="F542" s="12">
        <f t="shared" ref="F542:F556" si="159">F541-D542</f>
        <v>25679016.256257322</v>
      </c>
    </row>
    <row r="543" spans="2:6" x14ac:dyDescent="0.25">
      <c r="B543" s="44">
        <v>95</v>
      </c>
      <c r="C543" s="12">
        <f t="shared" si="147"/>
        <v>1200030.7584722296</v>
      </c>
      <c r="D543" s="12">
        <f t="shared" si="157"/>
        <v>814845.51462836983</v>
      </c>
      <c r="E543" s="12">
        <f t="shared" si="158"/>
        <v>385185.24384385982</v>
      </c>
      <c r="F543" s="12">
        <f t="shared" si="159"/>
        <v>24864170.741628952</v>
      </c>
    </row>
    <row r="544" spans="2:6" x14ac:dyDescent="0.25">
      <c r="B544" s="44">
        <v>96</v>
      </c>
      <c r="C544" s="12">
        <f t="shared" si="147"/>
        <v>1200030.7584722296</v>
      </c>
      <c r="D544" s="12">
        <f t="shared" si="157"/>
        <v>827068.19734779536</v>
      </c>
      <c r="E544" s="12">
        <f t="shared" si="158"/>
        <v>372962.56112443429</v>
      </c>
      <c r="F544" s="12">
        <f t="shared" si="159"/>
        <v>24037102.544281159</v>
      </c>
    </row>
    <row r="545" spans="2:6" x14ac:dyDescent="0.25">
      <c r="B545" s="44">
        <v>97</v>
      </c>
      <c r="C545" s="12">
        <f t="shared" si="147"/>
        <v>1200030.7584722296</v>
      </c>
      <c r="D545" s="12">
        <f t="shared" si="157"/>
        <v>839474.22030801221</v>
      </c>
      <c r="E545" s="12">
        <f t="shared" si="158"/>
        <v>360556.53816421737</v>
      </c>
      <c r="F545" s="12">
        <f t="shared" si="159"/>
        <v>23197628.323973145</v>
      </c>
    </row>
    <row r="546" spans="2:6" x14ac:dyDescent="0.25">
      <c r="B546" s="44">
        <v>98</v>
      </c>
      <c r="C546" s="12">
        <f t="shared" ref="C546:C568" si="160">$H$481</f>
        <v>1200030.7584722296</v>
      </c>
      <c r="D546" s="12">
        <f t="shared" si="157"/>
        <v>852066.33361263247</v>
      </c>
      <c r="E546" s="12">
        <f t="shared" si="158"/>
        <v>347964.42485959717</v>
      </c>
      <c r="F546" s="12">
        <f t="shared" si="159"/>
        <v>22345561.990360513</v>
      </c>
    </row>
    <row r="547" spans="2:6" x14ac:dyDescent="0.25">
      <c r="B547" s="44">
        <v>99</v>
      </c>
      <c r="C547" s="12">
        <f t="shared" si="160"/>
        <v>1200030.7584722296</v>
      </c>
      <c r="D547" s="12">
        <f t="shared" si="157"/>
        <v>864847.32861682191</v>
      </c>
      <c r="E547" s="12">
        <f t="shared" si="158"/>
        <v>335183.42985540768</v>
      </c>
      <c r="F547" s="12">
        <f t="shared" si="159"/>
        <v>21480714.661743693</v>
      </c>
    </row>
    <row r="548" spans="2:6" x14ac:dyDescent="0.25">
      <c r="B548" s="44">
        <v>100</v>
      </c>
      <c r="C548" s="12">
        <f t="shared" si="160"/>
        <v>1200030.7584722296</v>
      </c>
      <c r="D548" s="12">
        <f t="shared" si="157"/>
        <v>877820.03854607418</v>
      </c>
      <c r="E548" s="12">
        <f t="shared" si="158"/>
        <v>322210.71992615541</v>
      </c>
      <c r="F548" s="12">
        <f t="shared" si="159"/>
        <v>20602894.623197619</v>
      </c>
    </row>
    <row r="549" spans="2:6" x14ac:dyDescent="0.25">
      <c r="B549" s="44">
        <v>101</v>
      </c>
      <c r="C549" s="12">
        <f t="shared" si="160"/>
        <v>1200030.7584722296</v>
      </c>
      <c r="D549" s="12">
        <f t="shared" si="157"/>
        <v>890987.33912426536</v>
      </c>
      <c r="E549" s="12">
        <f t="shared" si="158"/>
        <v>309043.41934796429</v>
      </c>
      <c r="F549" s="12">
        <f t="shared" si="159"/>
        <v>19711907.284073353</v>
      </c>
    </row>
    <row r="550" spans="2:6" x14ac:dyDescent="0.25">
      <c r="B550" s="44">
        <v>102</v>
      </c>
      <c r="C550" s="12">
        <f t="shared" si="160"/>
        <v>1200030.7584722296</v>
      </c>
      <c r="D550" s="12">
        <f t="shared" si="157"/>
        <v>904352.14921112929</v>
      </c>
      <c r="E550" s="12">
        <f t="shared" si="158"/>
        <v>295678.6092611003</v>
      </c>
      <c r="F550" s="12">
        <f t="shared" si="159"/>
        <v>18807555.134862222</v>
      </c>
    </row>
    <row r="551" spans="2:6" x14ac:dyDescent="0.25">
      <c r="B551" s="44">
        <v>103</v>
      </c>
      <c r="C551" s="12">
        <f t="shared" si="160"/>
        <v>1200030.7584722296</v>
      </c>
      <c r="D551" s="12">
        <f t="shared" si="157"/>
        <v>917917.43144929619</v>
      </c>
      <c r="E551" s="12">
        <f t="shared" si="158"/>
        <v>282113.32702293334</v>
      </c>
      <c r="F551" s="12">
        <f t="shared" si="159"/>
        <v>17889637.703412924</v>
      </c>
    </row>
    <row r="552" spans="2:6" x14ac:dyDescent="0.25">
      <c r="B552" s="44">
        <v>104</v>
      </c>
      <c r="C552" s="12">
        <f t="shared" si="160"/>
        <v>1200030.7584722296</v>
      </c>
      <c r="D552" s="12">
        <f t="shared" si="157"/>
        <v>931686.19292103569</v>
      </c>
      <c r="E552" s="12">
        <f t="shared" si="158"/>
        <v>268344.56555119384</v>
      </c>
      <c r="F552" s="12">
        <f t="shared" si="159"/>
        <v>16957951.510491889</v>
      </c>
    </row>
    <row r="553" spans="2:6" x14ac:dyDescent="0.25">
      <c r="B553" s="44">
        <v>105</v>
      </c>
      <c r="C553" s="12">
        <f t="shared" si="160"/>
        <v>1200030.7584722296</v>
      </c>
      <c r="D553" s="12">
        <f t="shared" si="157"/>
        <v>945661.48581485124</v>
      </c>
      <c r="E553" s="12">
        <f t="shared" si="158"/>
        <v>254369.27265737831</v>
      </c>
      <c r="F553" s="12">
        <f t="shared" si="159"/>
        <v>16012290.024677038</v>
      </c>
    </row>
    <row r="554" spans="2:6" x14ac:dyDescent="0.25">
      <c r="B554" s="44">
        <v>106</v>
      </c>
      <c r="C554" s="12">
        <f t="shared" si="160"/>
        <v>1200030.7584722296</v>
      </c>
      <c r="D554" s="12">
        <f t="shared" si="157"/>
        <v>959846.40810207406</v>
      </c>
      <c r="E554" s="12">
        <f t="shared" si="158"/>
        <v>240184.35037015556</v>
      </c>
      <c r="F554" s="12">
        <f t="shared" si="159"/>
        <v>15052443.616574964</v>
      </c>
    </row>
    <row r="555" spans="2:6" x14ac:dyDescent="0.25">
      <c r="B555" s="44">
        <v>107</v>
      </c>
      <c r="C555" s="12">
        <f t="shared" si="160"/>
        <v>1200030.7584722296</v>
      </c>
      <c r="D555" s="12">
        <f t="shared" si="157"/>
        <v>974244.10422360513</v>
      </c>
      <c r="E555" s="12">
        <f t="shared" si="158"/>
        <v>225786.65424862446</v>
      </c>
      <c r="F555" s="12">
        <f t="shared" si="159"/>
        <v>14078199.512351358</v>
      </c>
    </row>
    <row r="556" spans="2:6" x14ac:dyDescent="0.25">
      <c r="B556" s="44">
        <v>108</v>
      </c>
      <c r="C556" s="12">
        <f t="shared" si="160"/>
        <v>1200030.7584722296</v>
      </c>
      <c r="D556" s="12">
        <f t="shared" si="157"/>
        <v>988857.76578695921</v>
      </c>
      <c r="E556" s="12">
        <f t="shared" si="158"/>
        <v>211172.99268527038</v>
      </c>
      <c r="F556" s="12">
        <f t="shared" si="159"/>
        <v>13089341.746564399</v>
      </c>
    </row>
    <row r="557" spans="2:6" x14ac:dyDescent="0.25">
      <c r="B557" s="44">
        <v>109</v>
      </c>
      <c r="C557" s="12">
        <f t="shared" si="160"/>
        <v>1200030.7584722296</v>
      </c>
      <c r="D557" s="12">
        <f>C557-E557</f>
        <v>1003690.6322737637</v>
      </c>
      <c r="E557" s="12">
        <f>F556*$C$7</f>
        <v>196340.12619846599</v>
      </c>
      <c r="F557" s="12">
        <f>F556-D557</f>
        <v>12085651.114290636</v>
      </c>
    </row>
    <row r="558" spans="2:6" x14ac:dyDescent="0.25">
      <c r="B558" s="44">
        <v>110</v>
      </c>
      <c r="C558" s="12">
        <f t="shared" si="160"/>
        <v>1200030.7584722296</v>
      </c>
      <c r="D558" s="12">
        <f t="shared" ref="D558:D567" si="161">C558-E558</f>
        <v>1018745.9917578701</v>
      </c>
      <c r="E558" s="12">
        <f t="shared" ref="E558:E567" si="162">F557*$C$7</f>
        <v>181284.76671435955</v>
      </c>
      <c r="F558" s="12">
        <f t="shared" ref="F558:F567" si="163">F557-D558</f>
        <v>11066905.122532766</v>
      </c>
    </row>
    <row r="559" spans="2:6" x14ac:dyDescent="0.25">
      <c r="B559" s="44">
        <v>111</v>
      </c>
      <c r="C559" s="12">
        <f t="shared" si="160"/>
        <v>1200030.7584722296</v>
      </c>
      <c r="D559" s="12">
        <f t="shared" si="161"/>
        <v>1034027.1816342381</v>
      </c>
      <c r="E559" s="12">
        <f t="shared" si="162"/>
        <v>166003.57683799148</v>
      </c>
      <c r="F559" s="12">
        <f t="shared" si="163"/>
        <v>10032877.940898528</v>
      </c>
    </row>
    <row r="560" spans="2:6" x14ac:dyDescent="0.25">
      <c r="B560" s="44">
        <v>112</v>
      </c>
      <c r="C560" s="12">
        <f t="shared" si="160"/>
        <v>1200030.7584722296</v>
      </c>
      <c r="D560" s="12">
        <f t="shared" si="161"/>
        <v>1049537.5893587517</v>
      </c>
      <c r="E560" s="12">
        <f t="shared" si="162"/>
        <v>150493.16911347792</v>
      </c>
      <c r="F560" s="12">
        <f t="shared" si="163"/>
        <v>8983340.3515397757</v>
      </c>
    </row>
    <row r="561" spans="1:6" x14ac:dyDescent="0.25">
      <c r="B561" s="44">
        <v>113</v>
      </c>
      <c r="C561" s="12">
        <f t="shared" si="160"/>
        <v>1200030.7584722296</v>
      </c>
      <c r="D561" s="12">
        <f t="shared" si="161"/>
        <v>1065280.653199133</v>
      </c>
      <c r="E561" s="12">
        <f t="shared" si="162"/>
        <v>134750.10527309662</v>
      </c>
      <c r="F561" s="12">
        <f t="shared" si="163"/>
        <v>7918059.6983406432</v>
      </c>
    </row>
    <row r="562" spans="1:6" x14ac:dyDescent="0.25">
      <c r="B562" s="44">
        <v>114</v>
      </c>
      <c r="C562" s="12">
        <f t="shared" si="160"/>
        <v>1200030.7584722296</v>
      </c>
      <c r="D562" s="12">
        <f t="shared" si="161"/>
        <v>1081259.86299712</v>
      </c>
      <c r="E562" s="12">
        <f t="shared" si="162"/>
        <v>118770.89547510965</v>
      </c>
      <c r="F562" s="12">
        <f t="shared" si="163"/>
        <v>6836799.835343523</v>
      </c>
    </row>
    <row r="563" spans="1:6" x14ac:dyDescent="0.25">
      <c r="B563" s="44">
        <v>115</v>
      </c>
      <c r="C563" s="12">
        <f t="shared" si="160"/>
        <v>1200030.7584722296</v>
      </c>
      <c r="D563" s="12">
        <f t="shared" si="161"/>
        <v>1097478.7609420768</v>
      </c>
      <c r="E563" s="12">
        <f t="shared" si="162"/>
        <v>102551.99753015285</v>
      </c>
      <c r="F563" s="12">
        <f t="shared" si="163"/>
        <v>5739321.0744014457</v>
      </c>
    </row>
    <row r="564" spans="1:6" x14ac:dyDescent="0.25">
      <c r="B564" s="44">
        <v>116</v>
      </c>
      <c r="C564" s="12">
        <f t="shared" si="160"/>
        <v>1200030.7584722296</v>
      </c>
      <c r="D564" s="12">
        <f t="shared" si="161"/>
        <v>1113940.9423562079</v>
      </c>
      <c r="E564" s="12">
        <f t="shared" si="162"/>
        <v>86089.816116021684</v>
      </c>
      <c r="F564" s="12">
        <f t="shared" si="163"/>
        <v>4625380.1320452373</v>
      </c>
    </row>
    <row r="565" spans="1:6" x14ac:dyDescent="0.25">
      <c r="B565" s="44">
        <v>117</v>
      </c>
      <c r="C565" s="12">
        <f t="shared" si="160"/>
        <v>1200030.7584722296</v>
      </c>
      <c r="D565" s="12">
        <f t="shared" si="161"/>
        <v>1130650.056491551</v>
      </c>
      <c r="E565" s="12">
        <f t="shared" si="162"/>
        <v>69380.701980678554</v>
      </c>
      <c r="F565" s="12">
        <f t="shared" si="163"/>
        <v>3494730.0755536864</v>
      </c>
    </row>
    <row r="566" spans="1:6" x14ac:dyDescent="0.25">
      <c r="B566" s="44">
        <v>118</v>
      </c>
      <c r="C566" s="12">
        <f t="shared" si="160"/>
        <v>1200030.7584722296</v>
      </c>
      <c r="D566" s="12">
        <f t="shared" si="161"/>
        <v>1147609.8073389244</v>
      </c>
      <c r="E566" s="12">
        <f t="shared" si="162"/>
        <v>52420.951133305294</v>
      </c>
      <c r="F566" s="12">
        <f t="shared" si="163"/>
        <v>2347120.2682147622</v>
      </c>
    </row>
    <row r="567" spans="1:6" x14ac:dyDescent="0.25">
      <c r="B567" s="44">
        <v>119</v>
      </c>
      <c r="C567" s="12">
        <f t="shared" si="160"/>
        <v>1200030.7584722296</v>
      </c>
      <c r="D567" s="12">
        <f t="shared" si="161"/>
        <v>1164823.9544490082</v>
      </c>
      <c r="E567" s="12">
        <f t="shared" si="162"/>
        <v>35206.804023221433</v>
      </c>
      <c r="F567" s="12">
        <f t="shared" si="163"/>
        <v>1182296.313765754</v>
      </c>
    </row>
    <row r="568" spans="1:6" x14ac:dyDescent="0.25">
      <c r="B568" s="44">
        <v>120</v>
      </c>
      <c r="C568" s="12">
        <f t="shared" si="160"/>
        <v>1200030.7584722296</v>
      </c>
      <c r="D568" s="12">
        <f>C568-E568</f>
        <v>1182296.3137657433</v>
      </c>
      <c r="E568" s="12">
        <f>F567*$C$7</f>
        <v>17734.444706486309</v>
      </c>
      <c r="F568" s="12">
        <f>F567-D568</f>
        <v>1.0710209608078003E-8</v>
      </c>
    </row>
    <row r="569" spans="1:6" x14ac:dyDescent="0.25">
      <c r="B569" s="273"/>
      <c r="C569" s="237"/>
      <c r="D569" s="237"/>
      <c r="E569" s="237">
        <f>SUM(E449:E568)</f>
        <v>82576932.426189065</v>
      </c>
      <c r="F569" s="298">
        <f>PV(D401,B568,,-E569)</f>
        <v>13833551.006108789</v>
      </c>
    </row>
    <row r="571" spans="1:6" x14ac:dyDescent="0.25">
      <c r="A571" s="165" t="s">
        <v>283</v>
      </c>
      <c r="B571" s="165"/>
      <c r="C571" s="165"/>
      <c r="D571" s="165"/>
      <c r="E571" s="165"/>
      <c r="F571" s="165"/>
    </row>
    <row r="573" spans="1:6" x14ac:dyDescent="0.25">
      <c r="B573" s="283" t="s">
        <v>284</v>
      </c>
      <c r="C573" s="283"/>
      <c r="D573" s="283"/>
      <c r="E573" s="283"/>
      <c r="F573" s="283"/>
    </row>
    <row r="574" spans="1:6" x14ac:dyDescent="0.25">
      <c r="B574" s="283"/>
      <c r="C574" s="283"/>
      <c r="D574" s="283"/>
      <c r="E574" s="283"/>
      <c r="F574" s="283"/>
    </row>
    <row r="575" spans="1:6" x14ac:dyDescent="0.25">
      <c r="B575" s="283"/>
      <c r="C575" s="283"/>
      <c r="D575" s="283"/>
      <c r="E575" s="283"/>
      <c r="F575" s="283"/>
    </row>
    <row r="576" spans="1:6" x14ac:dyDescent="0.25">
      <c r="B576" s="283"/>
      <c r="C576" s="283"/>
      <c r="D576" s="283"/>
      <c r="E576" s="283"/>
      <c r="F576" s="283"/>
    </row>
  </sheetData>
  <mergeCells count="47">
    <mergeCell ref="A571:F571"/>
    <mergeCell ref="B573:F576"/>
    <mergeCell ref="Q428:R428"/>
    <mergeCell ref="H429:I429"/>
    <mergeCell ref="Q429:R429"/>
    <mergeCell ref="B436:F437"/>
    <mergeCell ref="L436:Q438"/>
    <mergeCell ref="G480:I480"/>
    <mergeCell ref="B402:C402"/>
    <mergeCell ref="L402:M402"/>
    <mergeCell ref="B405:F405"/>
    <mergeCell ref="L405:P405"/>
    <mergeCell ref="B428:F428"/>
    <mergeCell ref="H428:I428"/>
    <mergeCell ref="L428:P428"/>
    <mergeCell ref="B272:F272"/>
    <mergeCell ref="L272:P272"/>
    <mergeCell ref="A397:G398"/>
    <mergeCell ref="B400:C400"/>
    <mergeCell ref="L400:M400"/>
    <mergeCell ref="B401:C401"/>
    <mergeCell ref="L401:M401"/>
    <mergeCell ref="B140:C140"/>
    <mergeCell ref="B142:F142"/>
    <mergeCell ref="A267:E267"/>
    <mergeCell ref="A269:C269"/>
    <mergeCell ref="L269:N269"/>
    <mergeCell ref="A270:C270"/>
    <mergeCell ref="L270:N270"/>
    <mergeCell ref="B137:C137"/>
    <mergeCell ref="L137:N137"/>
    <mergeCell ref="B138:C138"/>
    <mergeCell ref="M138:N138"/>
    <mergeCell ref="B139:C139"/>
    <mergeCell ref="M139:N139"/>
    <mergeCell ref="B11:F11"/>
    <mergeCell ref="L11:N11"/>
    <mergeCell ref="L12:N12"/>
    <mergeCell ref="M13:N13"/>
    <mergeCell ref="M14:N14"/>
    <mergeCell ref="A135:D135"/>
    <mergeCell ref="B1:K1"/>
    <mergeCell ref="A4:D4"/>
    <mergeCell ref="A6:B6"/>
    <mergeCell ref="A7:B7"/>
    <mergeCell ref="A8:B8"/>
    <mergeCell ref="A9:B9"/>
  </mergeCells>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F21" sqref="F21"/>
    </sheetView>
  </sheetViews>
  <sheetFormatPr baseColWidth="10" defaultRowHeight="15" x14ac:dyDescent="0.25"/>
  <cols>
    <col min="5" max="5" width="16.140625" bestFit="1" customWidth="1"/>
    <col min="10" max="10" width="28.28515625" customWidth="1"/>
  </cols>
  <sheetData>
    <row r="1" spans="1:10" x14ac:dyDescent="0.25">
      <c r="A1" s="180" t="s">
        <v>285</v>
      </c>
      <c r="B1" s="180"/>
      <c r="C1" s="180"/>
      <c r="D1" s="180"/>
      <c r="E1" s="180"/>
      <c r="F1" s="180"/>
      <c r="G1" s="180"/>
      <c r="H1" s="180"/>
      <c r="I1" s="180"/>
      <c r="J1" s="180"/>
    </row>
    <row r="2" spans="1:10" x14ac:dyDescent="0.25">
      <c r="A2" s="180"/>
      <c r="B2" s="180"/>
      <c r="C2" s="180"/>
      <c r="D2" s="180"/>
      <c r="E2" s="180"/>
      <c r="F2" s="180"/>
      <c r="G2" s="180"/>
      <c r="H2" s="180"/>
      <c r="I2" s="180"/>
      <c r="J2" s="180"/>
    </row>
    <row r="3" spans="1:10" x14ac:dyDescent="0.25">
      <c r="A3" s="180"/>
      <c r="B3" s="180"/>
      <c r="C3" s="180"/>
      <c r="D3" s="180"/>
      <c r="E3" s="180"/>
      <c r="F3" s="180"/>
      <c r="G3" s="180"/>
      <c r="H3" s="180"/>
      <c r="I3" s="180"/>
      <c r="J3" s="180"/>
    </row>
    <row r="4" spans="1:10" ht="46.5" customHeight="1" x14ac:dyDescent="0.25">
      <c r="A4" s="180"/>
      <c r="B4" s="180"/>
      <c r="C4" s="180"/>
      <c r="D4" s="180"/>
      <c r="E4" s="180"/>
      <c r="F4" s="180"/>
      <c r="G4" s="180"/>
      <c r="H4" s="180"/>
      <c r="I4" s="180"/>
      <c r="J4" s="180"/>
    </row>
    <row r="6" spans="1:10" x14ac:dyDescent="0.25">
      <c r="B6" s="165" t="s">
        <v>286</v>
      </c>
      <c r="C6" s="165"/>
      <c r="D6" s="24">
        <v>72200000</v>
      </c>
      <c r="F6" s="299" t="s">
        <v>287</v>
      </c>
      <c r="G6" s="299"/>
      <c r="H6" s="300">
        <f>D7/D8</f>
        <v>10.499999743902444</v>
      </c>
    </row>
    <row r="7" spans="1:10" x14ac:dyDescent="0.25">
      <c r="B7" s="165" t="s">
        <v>288</v>
      </c>
      <c r="C7" s="165"/>
      <c r="D7" s="24">
        <v>41000000</v>
      </c>
      <c r="E7" s="68"/>
      <c r="F7" s="299"/>
      <c r="G7" s="299"/>
      <c r="H7" s="300"/>
    </row>
    <row r="8" spans="1:10" x14ac:dyDescent="0.25">
      <c r="B8" s="165" t="s">
        <v>110</v>
      </c>
      <c r="C8" s="165"/>
      <c r="D8" s="24">
        <v>3904762</v>
      </c>
      <c r="E8" s="68"/>
    </row>
    <row r="9" spans="1:10" x14ac:dyDescent="0.25">
      <c r="B9" s="165" t="s">
        <v>190</v>
      </c>
      <c r="C9" s="165"/>
      <c r="D9" s="301">
        <v>0.06</v>
      </c>
      <c r="E9" s="68" t="s">
        <v>191</v>
      </c>
    </row>
    <row r="10" spans="1:10" x14ac:dyDescent="0.25">
      <c r="B10" s="77"/>
      <c r="C10" s="77"/>
      <c r="D10" s="301"/>
      <c r="E10" s="68"/>
    </row>
    <row r="12" spans="1:10" x14ac:dyDescent="0.25">
      <c r="B12" s="80" t="s">
        <v>267</v>
      </c>
      <c r="C12" s="80" t="s">
        <v>289</v>
      </c>
      <c r="D12" s="80" t="s">
        <v>194</v>
      </c>
      <c r="E12" s="80" t="s">
        <v>196</v>
      </c>
    </row>
    <row r="13" spans="1:10" x14ac:dyDescent="0.25">
      <c r="B13" s="80">
        <v>0</v>
      </c>
      <c r="C13" s="267">
        <f>$D$8</f>
        <v>3904762</v>
      </c>
      <c r="D13" s="80"/>
      <c r="E13" s="267">
        <f>D6-C13+D13</f>
        <v>68295238</v>
      </c>
    </row>
    <row r="14" spans="1:10" x14ac:dyDescent="0.25">
      <c r="B14" s="80">
        <v>1</v>
      </c>
      <c r="C14" s="267">
        <f>$D$8</f>
        <v>3904762</v>
      </c>
      <c r="D14" s="267">
        <f>E13*$D$9</f>
        <v>4097714.28</v>
      </c>
      <c r="E14" s="267">
        <f>E13-C14+D14</f>
        <v>68488190.280000001</v>
      </c>
    </row>
    <row r="15" spans="1:10" x14ac:dyDescent="0.25">
      <c r="B15" s="80">
        <v>2</v>
      </c>
      <c r="C15" s="267">
        <f t="shared" ref="C15:C23" si="0">$D$8</f>
        <v>3904762</v>
      </c>
      <c r="D15" s="267">
        <f t="shared" ref="D15:D34" si="1">E14*$D$9</f>
        <v>4109291.4167999998</v>
      </c>
      <c r="E15" s="267">
        <f t="shared" ref="E15:E34" si="2">E14-C15+D15</f>
        <v>68692719.696799994</v>
      </c>
    </row>
    <row r="16" spans="1:10" x14ac:dyDescent="0.25">
      <c r="B16" s="80">
        <v>3</v>
      </c>
      <c r="C16" s="267">
        <f t="shared" si="0"/>
        <v>3904762</v>
      </c>
      <c r="D16" s="267">
        <f t="shared" si="1"/>
        <v>4121563.1818079995</v>
      </c>
      <c r="E16" s="267">
        <f t="shared" si="2"/>
        <v>68909520.878607988</v>
      </c>
    </row>
    <row r="17" spans="2:10" x14ac:dyDescent="0.25">
      <c r="B17" s="80">
        <v>4</v>
      </c>
      <c r="C17" s="267">
        <f t="shared" si="0"/>
        <v>3904762</v>
      </c>
      <c r="D17" s="267">
        <f t="shared" si="1"/>
        <v>4134571.2527164794</v>
      </c>
      <c r="E17" s="267">
        <f t="shared" si="2"/>
        <v>69139330.13132447</v>
      </c>
    </row>
    <row r="18" spans="2:10" x14ac:dyDescent="0.25">
      <c r="B18" s="80">
        <v>5</v>
      </c>
      <c r="C18" s="267">
        <f t="shared" si="0"/>
        <v>3904762</v>
      </c>
      <c r="D18" s="267">
        <f t="shared" si="1"/>
        <v>4148359.807879468</v>
      </c>
      <c r="E18" s="267">
        <f t="shared" si="2"/>
        <v>69382927.939203933</v>
      </c>
    </row>
    <row r="19" spans="2:10" x14ac:dyDescent="0.25">
      <c r="B19" s="80">
        <v>6</v>
      </c>
      <c r="C19" s="267">
        <f t="shared" si="0"/>
        <v>3904762</v>
      </c>
      <c r="D19" s="267">
        <f t="shared" si="1"/>
        <v>4162975.676352236</v>
      </c>
      <c r="E19" s="267">
        <f t="shared" si="2"/>
        <v>69641141.615556166</v>
      </c>
    </row>
    <row r="20" spans="2:10" x14ac:dyDescent="0.25">
      <c r="B20" s="80">
        <v>7</v>
      </c>
      <c r="C20" s="267">
        <f t="shared" si="0"/>
        <v>3904762</v>
      </c>
      <c r="D20" s="267">
        <f t="shared" si="1"/>
        <v>4178468.4969333699</v>
      </c>
      <c r="E20" s="267">
        <f t="shared" si="2"/>
        <v>69914848.112489536</v>
      </c>
    </row>
    <row r="21" spans="2:10" x14ac:dyDescent="0.25">
      <c r="B21" s="80">
        <v>8</v>
      </c>
      <c r="C21" s="267">
        <f t="shared" si="0"/>
        <v>3904762</v>
      </c>
      <c r="D21" s="267">
        <f t="shared" si="1"/>
        <v>4194890.8867493719</v>
      </c>
      <c r="E21" s="267">
        <f t="shared" si="2"/>
        <v>70204976.999238908</v>
      </c>
    </row>
    <row r="22" spans="2:10" x14ac:dyDescent="0.25">
      <c r="B22" s="80">
        <v>9</v>
      </c>
      <c r="C22" s="267">
        <f t="shared" si="0"/>
        <v>3904762</v>
      </c>
      <c r="D22" s="267">
        <f t="shared" si="1"/>
        <v>4212298.6199543346</v>
      </c>
      <c r="E22" s="267">
        <f t="shared" si="2"/>
        <v>70512513.619193241</v>
      </c>
    </row>
    <row r="23" spans="2:10" x14ac:dyDescent="0.25">
      <c r="B23" s="302">
        <v>10</v>
      </c>
      <c r="C23" s="303">
        <f t="shared" si="0"/>
        <v>3904762</v>
      </c>
      <c r="D23" s="303">
        <f t="shared" si="1"/>
        <v>4230750.817151594</v>
      </c>
      <c r="E23" s="303">
        <f t="shared" si="2"/>
        <v>70838502.436344832</v>
      </c>
      <c r="G23" s="180" t="s">
        <v>290</v>
      </c>
      <c r="H23" s="180"/>
      <c r="I23" s="180"/>
    </row>
    <row r="24" spans="2:10" x14ac:dyDescent="0.25">
      <c r="B24" s="80">
        <v>11</v>
      </c>
      <c r="C24" s="267"/>
      <c r="D24" s="267">
        <f t="shared" si="1"/>
        <v>4250310.1461806893</v>
      </c>
      <c r="E24" s="267">
        <f>E23-C24+D24</f>
        <v>75088812.582525522</v>
      </c>
      <c r="G24" s="180"/>
      <c r="H24" s="180"/>
      <c r="I24" s="180"/>
    </row>
    <row r="25" spans="2:10" x14ac:dyDescent="0.25">
      <c r="B25" s="80">
        <v>12</v>
      </c>
      <c r="C25" s="267"/>
      <c r="D25" s="267">
        <f t="shared" si="1"/>
        <v>4505328.7549515311</v>
      </c>
      <c r="E25" s="267">
        <f t="shared" si="2"/>
        <v>79594141.337477058</v>
      </c>
    </row>
    <row r="26" spans="2:10" x14ac:dyDescent="0.25">
      <c r="B26" s="80">
        <v>13</v>
      </c>
      <c r="C26" s="267"/>
      <c r="D26" s="267">
        <f t="shared" si="1"/>
        <v>4775648.4802486235</v>
      </c>
      <c r="E26" s="267">
        <f t="shared" si="2"/>
        <v>84369789.817725688</v>
      </c>
    </row>
    <row r="27" spans="2:10" ht="15" customHeight="1" x14ac:dyDescent="0.25">
      <c r="B27" s="80">
        <v>14</v>
      </c>
      <c r="C27" s="267"/>
      <c r="D27" s="267">
        <f t="shared" si="1"/>
        <v>5062187.3890635408</v>
      </c>
      <c r="E27" s="267">
        <f t="shared" si="2"/>
        <v>89431977.206789225</v>
      </c>
      <c r="G27" s="180" t="s">
        <v>291</v>
      </c>
      <c r="H27" s="180"/>
      <c r="I27" s="180"/>
      <c r="J27" s="180"/>
    </row>
    <row r="28" spans="2:10" x14ac:dyDescent="0.25">
      <c r="B28" s="80">
        <v>15</v>
      </c>
      <c r="C28" s="267"/>
      <c r="D28" s="267">
        <f t="shared" si="1"/>
        <v>5365918.6324073533</v>
      </c>
      <c r="E28" s="267">
        <f t="shared" si="2"/>
        <v>94797895.839196578</v>
      </c>
      <c r="G28" s="180"/>
      <c r="H28" s="180"/>
      <c r="I28" s="180"/>
      <c r="J28" s="180"/>
    </row>
    <row r="29" spans="2:10" x14ac:dyDescent="0.25">
      <c r="B29" s="80">
        <v>16</v>
      </c>
      <c r="C29" s="267"/>
      <c r="D29" s="267">
        <f t="shared" si="1"/>
        <v>5687873.7503517941</v>
      </c>
      <c r="E29" s="267">
        <f t="shared" si="2"/>
        <v>100485769.58954838</v>
      </c>
      <c r="G29" s="180"/>
      <c r="H29" s="180"/>
      <c r="I29" s="180"/>
      <c r="J29" s="180"/>
    </row>
    <row r="30" spans="2:10" x14ac:dyDescent="0.25">
      <c r="B30" s="80">
        <v>17</v>
      </c>
      <c r="C30" s="267"/>
      <c r="D30" s="267">
        <f t="shared" si="1"/>
        <v>6029146.1753729023</v>
      </c>
      <c r="E30" s="267">
        <f t="shared" si="2"/>
        <v>106514915.76492128</v>
      </c>
      <c r="G30" s="27"/>
      <c r="H30" s="27"/>
      <c r="I30" s="27"/>
      <c r="J30" s="27"/>
    </row>
    <row r="31" spans="2:10" x14ac:dyDescent="0.25">
      <c r="B31" s="80">
        <v>18</v>
      </c>
      <c r="C31" s="267"/>
      <c r="D31" s="267">
        <f t="shared" si="1"/>
        <v>6390894.945895276</v>
      </c>
      <c r="E31" s="267">
        <f t="shared" si="2"/>
        <v>112905810.71081655</v>
      </c>
    </row>
    <row r="32" spans="2:10" x14ac:dyDescent="0.25">
      <c r="B32" s="80">
        <v>19</v>
      </c>
      <c r="C32" s="267"/>
      <c r="D32" s="267">
        <f t="shared" si="1"/>
        <v>6774348.6426489921</v>
      </c>
      <c r="E32" s="267">
        <f t="shared" si="2"/>
        <v>119680159.35346554</v>
      </c>
    </row>
    <row r="33" spans="2:5" x14ac:dyDescent="0.25">
      <c r="B33" s="80">
        <v>20</v>
      </c>
      <c r="C33" s="267"/>
      <c r="D33" s="267">
        <f t="shared" si="1"/>
        <v>7180809.5612079324</v>
      </c>
      <c r="E33" s="267">
        <f t="shared" si="2"/>
        <v>126860968.91467348</v>
      </c>
    </row>
    <row r="34" spans="2:5" x14ac:dyDescent="0.25">
      <c r="B34" s="80">
        <v>21</v>
      </c>
      <c r="C34" s="267"/>
      <c r="D34" s="267">
        <f t="shared" si="1"/>
        <v>7611658.1348804086</v>
      </c>
      <c r="E34" s="267">
        <f t="shared" si="2"/>
        <v>134472627.04955387</v>
      </c>
    </row>
    <row r="35" spans="2:5" x14ac:dyDescent="0.25">
      <c r="C35" s="68"/>
    </row>
  </sheetData>
  <mergeCells count="9">
    <mergeCell ref="B9:C9"/>
    <mergeCell ref="G23:I24"/>
    <mergeCell ref="G27:J29"/>
    <mergeCell ref="A1:J4"/>
    <mergeCell ref="B6:C6"/>
    <mergeCell ref="F6:G7"/>
    <mergeCell ref="H6:H7"/>
    <mergeCell ref="B7:C7"/>
    <mergeCell ref="B8:C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election activeCell="J65" sqref="J65"/>
    </sheetView>
  </sheetViews>
  <sheetFormatPr baseColWidth="10" defaultRowHeight="15" x14ac:dyDescent="0.25"/>
  <cols>
    <col min="4" max="4" width="12.5703125" bestFit="1" customWidth="1"/>
    <col min="7" max="7" width="14.85546875" bestFit="1" customWidth="1"/>
    <col min="8" max="8" width="13.140625" bestFit="1" customWidth="1"/>
    <col min="12" max="12" width="13.85546875" bestFit="1" customWidth="1"/>
  </cols>
  <sheetData>
    <row r="1" spans="1:15" ht="23.25" x14ac:dyDescent="0.35">
      <c r="B1" s="260" t="s">
        <v>292</v>
      </c>
      <c r="C1" s="261"/>
      <c r="D1" s="261"/>
      <c r="E1" s="261"/>
      <c r="F1" s="261"/>
      <c r="G1" s="261"/>
      <c r="H1" s="261"/>
      <c r="I1" s="261"/>
      <c r="J1" s="261"/>
    </row>
    <row r="3" spans="1:15" ht="15" customHeight="1" x14ac:dyDescent="0.25">
      <c r="A3" s="224" t="s">
        <v>293</v>
      </c>
      <c r="B3" s="224"/>
      <c r="C3" s="224"/>
      <c r="D3" s="224"/>
      <c r="E3" s="224"/>
      <c r="F3" s="224"/>
      <c r="G3" s="224"/>
      <c r="H3" s="224"/>
      <c r="I3" s="224"/>
      <c r="J3" s="224"/>
      <c r="K3" s="224"/>
    </row>
    <row r="4" spans="1:15" x14ac:dyDescent="0.25">
      <c r="A4" s="224"/>
      <c r="B4" s="224"/>
      <c r="C4" s="224"/>
      <c r="D4" s="224"/>
      <c r="E4" s="224"/>
      <c r="F4" s="224"/>
      <c r="G4" s="224"/>
      <c r="H4" s="224"/>
      <c r="I4" s="224"/>
      <c r="J4" s="224"/>
      <c r="K4" s="224"/>
    </row>
    <row r="6" spans="1:15" ht="15" customHeight="1" x14ac:dyDescent="0.25">
      <c r="A6" s="224" t="s">
        <v>294</v>
      </c>
      <c r="B6" s="224"/>
      <c r="C6" s="224"/>
      <c r="D6" s="224"/>
      <c r="E6" s="224"/>
      <c r="F6" s="224"/>
      <c r="G6" s="224"/>
      <c r="H6" s="224"/>
      <c r="I6" s="224"/>
      <c r="J6" s="224"/>
      <c r="K6" s="224"/>
    </row>
    <row r="8" spans="1:15" x14ac:dyDescent="0.25">
      <c r="B8" s="44" t="s">
        <v>213</v>
      </c>
      <c r="C8" s="304">
        <v>0.2</v>
      </c>
      <c r="D8" t="s">
        <v>191</v>
      </c>
      <c r="E8" s="211" t="s">
        <v>295</v>
      </c>
      <c r="F8" s="211"/>
      <c r="G8" s="275">
        <f>C8/4</f>
        <v>0.05</v>
      </c>
    </row>
    <row r="9" spans="1:15" x14ac:dyDescent="0.25">
      <c r="B9" s="44" t="s">
        <v>296</v>
      </c>
      <c r="C9" s="12">
        <v>100000</v>
      </c>
      <c r="E9" s="211" t="s">
        <v>209</v>
      </c>
      <c r="F9" s="211"/>
      <c r="G9" s="305">
        <f>((1+C8)^(1/4))-1</f>
        <v>4.6635139392105618E-2</v>
      </c>
    </row>
    <row r="10" spans="1:15" x14ac:dyDescent="0.25">
      <c r="B10" s="44" t="s">
        <v>109</v>
      </c>
      <c r="C10" s="12">
        <v>200000</v>
      </c>
    </row>
    <row r="11" spans="1:15" ht="15.75" thickBot="1" x14ac:dyDescent="0.3"/>
    <row r="12" spans="1:15" ht="15.75" thickBot="1" x14ac:dyDescent="0.3">
      <c r="B12" s="44" t="s">
        <v>297</v>
      </c>
      <c r="C12" s="44" t="s">
        <v>289</v>
      </c>
      <c r="D12" s="44" t="s">
        <v>194</v>
      </c>
      <c r="E12" s="44" t="s">
        <v>195</v>
      </c>
      <c r="F12" s="306" t="s">
        <v>196</v>
      </c>
      <c r="G12" s="307" t="s">
        <v>254</v>
      </c>
      <c r="H12" s="308" t="s">
        <v>298</v>
      </c>
      <c r="I12" s="309">
        <f>F13</f>
        <v>6287166.9596510092</v>
      </c>
      <c r="K12" s="44" t="s">
        <v>299</v>
      </c>
      <c r="L12" s="310" t="s">
        <v>289</v>
      </c>
      <c r="M12" s="44" t="s">
        <v>194</v>
      </c>
      <c r="N12" s="44" t="s">
        <v>195</v>
      </c>
      <c r="O12" s="44" t="s">
        <v>196</v>
      </c>
    </row>
    <row r="13" spans="1:15" x14ac:dyDescent="0.25">
      <c r="A13" s="44" t="s">
        <v>300</v>
      </c>
      <c r="B13" s="44">
        <v>0</v>
      </c>
      <c r="C13" s="44"/>
      <c r="D13" s="44"/>
      <c r="E13" s="44"/>
      <c r="F13" s="311">
        <v>6287166.9596510092</v>
      </c>
      <c r="G13" s="312"/>
      <c r="K13" s="44">
        <v>0</v>
      </c>
      <c r="L13" s="44"/>
      <c r="M13" s="44"/>
      <c r="N13" s="44"/>
      <c r="O13" s="217">
        <f>I12</f>
        <v>6287166.9596510092</v>
      </c>
    </row>
    <row r="14" spans="1:15" x14ac:dyDescent="0.25">
      <c r="A14" s="313">
        <v>1</v>
      </c>
      <c r="B14" s="44">
        <v>1</v>
      </c>
      <c r="C14" s="217">
        <f>$C$10+(B14-1)*$C$9</f>
        <v>200000</v>
      </c>
      <c r="D14" s="12">
        <f>F13*$G$9</f>
        <v>293202.90754476568</v>
      </c>
      <c r="E14" s="12">
        <f>C14-D14</f>
        <v>-93202.90754476568</v>
      </c>
      <c r="F14" s="311">
        <f>F13-E14</f>
        <v>6380369.8671957748</v>
      </c>
      <c r="G14" s="314">
        <f>PV($G$9,B14,,-C14)</f>
        <v>191088.55844087334</v>
      </c>
      <c r="K14" s="44">
        <v>1</v>
      </c>
      <c r="L14" s="44"/>
      <c r="M14" s="217">
        <f>O13*$C$8</f>
        <v>1257433.391930202</v>
      </c>
      <c r="N14" s="217">
        <f>L14-M14</f>
        <v>-1257433.391930202</v>
      </c>
      <c r="O14" s="217">
        <f>O13-N14</f>
        <v>7544600.3515812112</v>
      </c>
    </row>
    <row r="15" spans="1:15" x14ac:dyDescent="0.25">
      <c r="A15" s="313"/>
      <c r="B15" s="44">
        <v>2</v>
      </c>
      <c r="C15" s="217">
        <f t="shared" ref="C15:C25" si="0">$C$10+(B15-1)*$C$9</f>
        <v>300000</v>
      </c>
      <c r="D15" s="12">
        <f t="shared" ref="D15:D25" si="1">F14*$G$9</f>
        <v>297549.43812986539</v>
      </c>
      <c r="E15" s="12">
        <f t="shared" ref="E15:E25" si="2">C15-D15</f>
        <v>2450.5618701346102</v>
      </c>
      <c r="F15" s="311">
        <f t="shared" ref="F15:F25" si="3">F14-E15</f>
        <v>6377919.3053256404</v>
      </c>
      <c r="G15" s="314">
        <f>PV($G$9,B15,,-C15)</f>
        <v>273861.27875258302</v>
      </c>
      <c r="K15" s="44">
        <v>2</v>
      </c>
      <c r="L15" s="44"/>
      <c r="M15" s="217">
        <f t="shared" ref="M15" si="4">O14*$C$8</f>
        <v>1508920.0703162423</v>
      </c>
      <c r="N15" s="217">
        <f t="shared" ref="N15" si="5">L15-M15</f>
        <v>-1508920.0703162423</v>
      </c>
      <c r="O15" s="217">
        <f t="shared" ref="O15:O16" si="6">O14-N15</f>
        <v>9053520.4218974542</v>
      </c>
    </row>
    <row r="16" spans="1:15" x14ac:dyDescent="0.25">
      <c r="A16" s="313"/>
      <c r="B16" s="44">
        <v>3</v>
      </c>
      <c r="C16" s="217">
        <f t="shared" si="0"/>
        <v>400000</v>
      </c>
      <c r="D16" s="12">
        <f t="shared" si="1"/>
        <v>297435.15583546268</v>
      </c>
      <c r="E16" s="12">
        <f t="shared" si="2"/>
        <v>102564.84416453732</v>
      </c>
      <c r="F16" s="311">
        <f t="shared" si="3"/>
        <v>6275354.4611611031</v>
      </c>
      <c r="G16" s="314">
        <f t="shared" ref="G16:G24" si="7">PV($G$9,B16,,-C16)</f>
        <v>348878.37979736849</v>
      </c>
      <c r="K16" s="44">
        <v>3</v>
      </c>
      <c r="L16" s="12">
        <v>10864224.506276943</v>
      </c>
      <c r="M16" s="217">
        <f>O15*$C$8</f>
        <v>1810704.0843794909</v>
      </c>
      <c r="N16" s="217">
        <f>L16-M16</f>
        <v>9053520.4218974523</v>
      </c>
      <c r="O16" s="217">
        <f t="shared" si="6"/>
        <v>0</v>
      </c>
    </row>
    <row r="17" spans="1:14" x14ac:dyDescent="0.25">
      <c r="A17" s="313"/>
      <c r="B17" s="44">
        <v>4</v>
      </c>
      <c r="C17" s="217">
        <f t="shared" si="0"/>
        <v>500000</v>
      </c>
      <c r="D17" s="12">
        <f t="shared" si="1"/>
        <v>292652.03003111988</v>
      </c>
      <c r="E17" s="12">
        <f t="shared" si="2"/>
        <v>207347.96996888012</v>
      </c>
      <c r="F17" s="311">
        <f t="shared" si="3"/>
        <v>6068006.4911922226</v>
      </c>
      <c r="G17" s="314">
        <f>PV($G$9,B17,,-C17)</f>
        <v>416666.66666666651</v>
      </c>
      <c r="L17" s="128"/>
    </row>
    <row r="18" spans="1:14" x14ac:dyDescent="0.25">
      <c r="A18" s="313">
        <v>2</v>
      </c>
      <c r="B18" s="44">
        <v>5</v>
      </c>
      <c r="C18" s="217">
        <f t="shared" si="0"/>
        <v>600000</v>
      </c>
      <c r="D18" s="12">
        <f>F17*$G$9</f>
        <v>282982.32854895102</v>
      </c>
      <c r="E18" s="12">
        <f t="shared" si="2"/>
        <v>317017.67145104898</v>
      </c>
      <c r="F18" s="311">
        <f t="shared" si="3"/>
        <v>5750988.8197411736</v>
      </c>
      <c r="G18" s="314">
        <f t="shared" si="7"/>
        <v>477721.39610218321</v>
      </c>
      <c r="K18" s="180" t="s">
        <v>301</v>
      </c>
      <c r="L18" s="180"/>
      <c r="M18" s="180"/>
      <c r="N18" s="180"/>
    </row>
    <row r="19" spans="1:14" x14ac:dyDescent="0.25">
      <c r="A19" s="313"/>
      <c r="B19" s="44">
        <v>6</v>
      </c>
      <c r="C19" s="217">
        <f t="shared" si="0"/>
        <v>700000</v>
      </c>
      <c r="D19" s="12">
        <f>F18*$G$9</f>
        <v>268198.16525107058</v>
      </c>
      <c r="E19" s="12">
        <f t="shared" si="2"/>
        <v>431801.83474892942</v>
      </c>
      <c r="F19" s="311">
        <f t="shared" si="3"/>
        <v>5319186.9849922443</v>
      </c>
      <c r="G19" s="314">
        <f t="shared" si="7"/>
        <v>532508.04201891122</v>
      </c>
      <c r="K19" s="180"/>
      <c r="L19" s="180"/>
      <c r="M19" s="180"/>
      <c r="N19" s="180"/>
    </row>
    <row r="20" spans="1:14" x14ac:dyDescent="0.25">
      <c r="A20" s="313"/>
      <c r="B20" s="44">
        <v>7</v>
      </c>
      <c r="C20" s="217">
        <f t="shared" si="0"/>
        <v>800000</v>
      </c>
      <c r="D20" s="12">
        <f t="shared" si="1"/>
        <v>248061.02649778733</v>
      </c>
      <c r="E20" s="12">
        <f>C20-D20</f>
        <v>551938.97350221267</v>
      </c>
      <c r="F20" s="311">
        <f t="shared" si="3"/>
        <v>4767248.0114900321</v>
      </c>
      <c r="G20" s="314">
        <f t="shared" si="7"/>
        <v>581463.96632894722</v>
      </c>
    </row>
    <row r="21" spans="1:14" x14ac:dyDescent="0.25">
      <c r="A21" s="313"/>
      <c r="B21" s="44">
        <v>8</v>
      </c>
      <c r="C21" s="217">
        <f t="shared" si="0"/>
        <v>900000</v>
      </c>
      <c r="D21" s="12">
        <f t="shared" si="1"/>
        <v>222321.27553257596</v>
      </c>
      <c r="E21" s="12">
        <f t="shared" si="2"/>
        <v>677678.72446742398</v>
      </c>
      <c r="F21" s="311">
        <f t="shared" si="3"/>
        <v>4089569.2870226083</v>
      </c>
      <c r="G21" s="314">
        <f>PV($G$9,B21,,-C21)</f>
        <v>624999.99999999953</v>
      </c>
    </row>
    <row r="22" spans="1:14" x14ac:dyDescent="0.25">
      <c r="A22" s="313">
        <v>3</v>
      </c>
      <c r="B22" s="44">
        <v>9</v>
      </c>
      <c r="C22" s="217">
        <f t="shared" si="0"/>
        <v>1000000</v>
      </c>
      <c r="D22" s="12">
        <f t="shared" si="1"/>
        <v>190717.63375397332</v>
      </c>
      <c r="E22" s="12">
        <f t="shared" si="2"/>
        <v>809282.36624602671</v>
      </c>
      <c r="F22" s="311">
        <f t="shared" si="3"/>
        <v>3280286.9207765814</v>
      </c>
      <c r="G22" s="314">
        <f>PV($G$9,B22,,-C22)</f>
        <v>663501.93903080968</v>
      </c>
    </row>
    <row r="23" spans="1:14" x14ac:dyDescent="0.25">
      <c r="A23" s="313"/>
      <c r="B23" s="44">
        <v>10</v>
      </c>
      <c r="C23" s="217">
        <f t="shared" si="0"/>
        <v>1100000</v>
      </c>
      <c r="D23" s="12">
        <f t="shared" si="1"/>
        <v>152976.63779651679</v>
      </c>
      <c r="E23" s="12">
        <f t="shared" si="2"/>
        <v>947023.36220348324</v>
      </c>
      <c r="F23" s="311">
        <f t="shared" si="3"/>
        <v>2333263.5585730979</v>
      </c>
      <c r="G23" s="314">
        <f t="shared" si="7"/>
        <v>697331.95978666923</v>
      </c>
    </row>
    <row r="24" spans="1:14" x14ac:dyDescent="0.25">
      <c r="A24" s="313"/>
      <c r="B24" s="44">
        <v>11</v>
      </c>
      <c r="C24" s="217">
        <f t="shared" si="0"/>
        <v>1200000</v>
      </c>
      <c r="D24" s="12">
        <f t="shared" si="1"/>
        <v>108812.07129257682</v>
      </c>
      <c r="E24" s="12">
        <f t="shared" si="2"/>
        <v>1091187.9287074232</v>
      </c>
      <c r="F24" s="311">
        <f t="shared" si="3"/>
        <v>1242075.6298656748</v>
      </c>
      <c r="G24" s="314">
        <f t="shared" si="7"/>
        <v>726829.95791118371</v>
      </c>
    </row>
    <row r="25" spans="1:14" ht="15.75" thickBot="1" x14ac:dyDescent="0.3">
      <c r="A25" s="313"/>
      <c r="B25" s="44">
        <v>12</v>
      </c>
      <c r="C25" s="217">
        <f t="shared" si="0"/>
        <v>1300000</v>
      </c>
      <c r="D25" s="12">
        <f t="shared" si="1"/>
        <v>57924.37013432313</v>
      </c>
      <c r="E25" s="12">
        <f t="shared" si="2"/>
        <v>1242075.6298656769</v>
      </c>
      <c r="F25" s="311">
        <f t="shared" si="3"/>
        <v>-2.0954757928848267E-9</v>
      </c>
      <c r="G25" s="315">
        <f>PV($G$9,B25,,-C25)</f>
        <v>752314.81481481402</v>
      </c>
    </row>
    <row r="26" spans="1:14" ht="15.75" thickBot="1" x14ac:dyDescent="0.3">
      <c r="G26" s="316">
        <f>SUM(G14:G25)</f>
        <v>6287166.9596510101</v>
      </c>
    </row>
    <row r="29" spans="1:14" x14ac:dyDescent="0.25">
      <c r="A29" s="317" t="s">
        <v>302</v>
      </c>
      <c r="B29" s="224"/>
      <c r="C29" s="224"/>
      <c r="D29" s="224"/>
      <c r="E29" s="224"/>
      <c r="F29" s="224"/>
      <c r="G29" s="224"/>
      <c r="H29" s="224"/>
      <c r="I29" s="224"/>
      <c r="J29" s="224"/>
      <c r="K29" s="224"/>
    </row>
    <row r="30" spans="1:14" x14ac:dyDescent="0.25">
      <c r="A30" s="224"/>
      <c r="B30" s="224"/>
      <c r="C30" s="224"/>
      <c r="D30" s="224"/>
      <c r="E30" s="224"/>
      <c r="F30" s="224"/>
      <c r="G30" s="224"/>
      <c r="H30" s="224"/>
      <c r="I30" s="224"/>
      <c r="J30" s="224"/>
      <c r="K30" s="224"/>
    </row>
    <row r="31" spans="1:14" x14ac:dyDescent="0.25">
      <c r="A31" s="228"/>
      <c r="B31" s="228"/>
      <c r="C31" s="228"/>
      <c r="D31" s="228"/>
      <c r="E31" s="228"/>
      <c r="F31" s="228"/>
      <c r="G31" s="228"/>
      <c r="H31" s="228"/>
      <c r="I31" s="228"/>
      <c r="J31" s="228"/>
      <c r="K31" s="228"/>
    </row>
    <row r="32" spans="1:14" x14ac:dyDescent="0.25">
      <c r="A32" s="228"/>
      <c r="B32" s="318" t="s">
        <v>303</v>
      </c>
      <c r="C32" s="319"/>
      <c r="D32" s="320"/>
      <c r="E32" s="273"/>
      <c r="F32" s="318" t="s">
        <v>304</v>
      </c>
      <c r="G32" s="319"/>
      <c r="H32" s="320"/>
      <c r="I32" s="228"/>
      <c r="J32" s="318" t="s">
        <v>305</v>
      </c>
      <c r="K32" s="319"/>
      <c r="L32" s="320"/>
    </row>
    <row r="33" spans="1:12" x14ac:dyDescent="0.25">
      <c r="A33" s="228"/>
      <c r="B33" s="296" t="s">
        <v>306</v>
      </c>
      <c r="C33" s="212"/>
      <c r="D33" s="321">
        <v>0.15</v>
      </c>
      <c r="E33" s="273"/>
      <c r="F33" s="296" t="s">
        <v>306</v>
      </c>
      <c r="G33" s="212"/>
      <c r="H33" s="321">
        <v>0.2</v>
      </c>
      <c r="I33" s="228"/>
      <c r="J33" s="296" t="s">
        <v>306</v>
      </c>
      <c r="K33" s="212"/>
      <c r="L33" s="321">
        <v>0.25</v>
      </c>
    </row>
    <row r="34" spans="1:12" x14ac:dyDescent="0.25">
      <c r="A34" s="228"/>
      <c r="B34" s="296" t="s">
        <v>307</v>
      </c>
      <c r="C34" s="212"/>
      <c r="D34" s="322">
        <f>NOMINAL(D33,4)</f>
        <v>0.14223230536648845</v>
      </c>
      <c r="E34" s="323"/>
      <c r="F34" s="296" t="s">
        <v>307</v>
      </c>
      <c r="G34" s="212"/>
      <c r="H34" s="322">
        <f>NOMINAL(H33,4)</f>
        <v>0.18654055756842247</v>
      </c>
      <c r="I34" s="228"/>
      <c r="J34" s="296" t="s">
        <v>307</v>
      </c>
      <c r="K34" s="212"/>
      <c r="L34" s="322">
        <f>NOMINAL(L33,4)</f>
        <v>0.22948505376225636</v>
      </c>
    </row>
    <row r="35" spans="1:12" x14ac:dyDescent="0.25">
      <c r="A35" s="228"/>
      <c r="B35" s="324" t="s">
        <v>308</v>
      </c>
      <c r="C35" s="325"/>
      <c r="D35" s="326">
        <f>D34/4</f>
        <v>3.5558076341622114E-2</v>
      </c>
      <c r="E35" s="323"/>
      <c r="F35" s="324" t="s">
        <v>308</v>
      </c>
      <c r="G35" s="325"/>
      <c r="H35" s="326">
        <f>H34/4</f>
        <v>4.6635139392105618E-2</v>
      </c>
      <c r="I35" s="228"/>
      <c r="J35" s="324" t="s">
        <v>308</v>
      </c>
      <c r="K35" s="325"/>
      <c r="L35" s="326">
        <f>L34/4</f>
        <v>5.7371263440564091E-2</v>
      </c>
    </row>
    <row r="36" spans="1:12" x14ac:dyDescent="0.25">
      <c r="A36" s="228"/>
      <c r="B36" s="273"/>
      <c r="C36" s="218"/>
      <c r="D36" s="237"/>
      <c r="E36" s="323"/>
      <c r="F36" s="323"/>
      <c r="G36" s="323"/>
      <c r="H36" s="228"/>
      <c r="I36" s="228"/>
      <c r="J36" s="228"/>
      <c r="K36" s="228"/>
    </row>
    <row r="37" spans="1:12" x14ac:dyDescent="0.25">
      <c r="A37" s="228"/>
      <c r="B37" s="228"/>
      <c r="C37" s="228"/>
      <c r="D37" s="228"/>
      <c r="E37" s="228"/>
      <c r="F37" s="228"/>
      <c r="G37" s="228"/>
      <c r="H37" s="228"/>
      <c r="I37" s="228"/>
      <c r="J37" s="228"/>
      <c r="K37" s="228"/>
    </row>
    <row r="38" spans="1:12" ht="15.75" thickBot="1" x14ac:dyDescent="0.3">
      <c r="C38" s="44" t="s">
        <v>297</v>
      </c>
      <c r="D38" s="44" t="s">
        <v>289</v>
      </c>
      <c r="E38" s="44" t="s">
        <v>194</v>
      </c>
      <c r="F38" s="306" t="s">
        <v>195</v>
      </c>
      <c r="G38" s="327" t="s">
        <v>196</v>
      </c>
      <c r="H38" s="328"/>
    </row>
    <row r="39" spans="1:12" ht="15.75" thickBot="1" x14ac:dyDescent="0.3">
      <c r="A39" s="273"/>
      <c r="B39" s="80" t="s">
        <v>300</v>
      </c>
      <c r="C39" s="44">
        <v>0</v>
      </c>
      <c r="D39" s="44"/>
      <c r="E39" s="44"/>
      <c r="F39" s="306"/>
      <c r="G39" s="329">
        <v>6468387.1435073437</v>
      </c>
      <c r="H39" s="328"/>
    </row>
    <row r="40" spans="1:12" x14ac:dyDescent="0.25">
      <c r="B40" s="313">
        <v>1</v>
      </c>
      <c r="C40" s="44">
        <v>1</v>
      </c>
      <c r="D40" s="217">
        <f>$C$10+(C40-1)*$C$9</f>
        <v>200000</v>
      </c>
      <c r="E40" s="12">
        <f>G39*$D$35</f>
        <v>230003.40385600112</v>
      </c>
      <c r="F40" s="311">
        <f>D40-E40</f>
        <v>-30003.403856001125</v>
      </c>
      <c r="G40" s="330">
        <f>G39-F40</f>
        <v>6498390.5473633446</v>
      </c>
      <c r="H40" s="331"/>
    </row>
    <row r="41" spans="1:12" x14ac:dyDescent="0.25">
      <c r="B41" s="313"/>
      <c r="C41" s="44">
        <v>2</v>
      </c>
      <c r="D41" s="217">
        <f t="shared" ref="D41:D51" si="8">$C$10+(C41-1)*$C$9</f>
        <v>300000</v>
      </c>
      <c r="E41" s="12">
        <f t="shared" ref="E41:E43" si="9">G40*$D$35</f>
        <v>231070.26718082131</v>
      </c>
      <c r="F41" s="311">
        <f t="shared" ref="F41:F45" si="10">D41-E41</f>
        <v>68929.732819178695</v>
      </c>
      <c r="G41" s="332">
        <f t="shared" ref="G41:G51" si="11">G40-F41</f>
        <v>6429460.8145441655</v>
      </c>
      <c r="H41" s="331"/>
    </row>
    <row r="42" spans="1:12" x14ac:dyDescent="0.25">
      <c r="B42" s="313"/>
      <c r="C42" s="44">
        <v>3</v>
      </c>
      <c r="D42" s="217">
        <f t="shared" si="8"/>
        <v>400000</v>
      </c>
      <c r="E42" s="12">
        <f t="shared" si="9"/>
        <v>228619.25847902935</v>
      </c>
      <c r="F42" s="311">
        <f t="shared" si="10"/>
        <v>171380.74152097065</v>
      </c>
      <c r="G42" s="332">
        <f t="shared" si="11"/>
        <v>6258080.0730231944</v>
      </c>
      <c r="H42" s="331"/>
      <c r="I42" s="180" t="s">
        <v>309</v>
      </c>
      <c r="J42" s="180"/>
      <c r="K42" s="180"/>
    </row>
    <row r="43" spans="1:12" x14ac:dyDescent="0.25">
      <c r="B43" s="313"/>
      <c r="C43" s="44">
        <v>4</v>
      </c>
      <c r="D43" s="217">
        <f t="shared" si="8"/>
        <v>500000</v>
      </c>
      <c r="E43" s="12">
        <f t="shared" si="9"/>
        <v>222525.28898854283</v>
      </c>
      <c r="F43" s="311">
        <f t="shared" si="10"/>
        <v>277474.71101145714</v>
      </c>
      <c r="G43" s="332">
        <f t="shared" si="11"/>
        <v>5980605.3620117372</v>
      </c>
      <c r="H43" s="331"/>
      <c r="I43" s="180"/>
      <c r="J43" s="180"/>
      <c r="K43" s="180"/>
    </row>
    <row r="44" spans="1:12" x14ac:dyDescent="0.25">
      <c r="B44" s="313">
        <v>2</v>
      </c>
      <c r="C44" s="44">
        <v>5</v>
      </c>
      <c r="D44" s="217">
        <f t="shared" si="8"/>
        <v>600000</v>
      </c>
      <c r="E44" s="12">
        <f>G43*$H$35</f>
        <v>278906.36470659164</v>
      </c>
      <c r="F44" s="311">
        <f t="shared" si="10"/>
        <v>321093.63529340836</v>
      </c>
      <c r="G44" s="332">
        <f t="shared" si="11"/>
        <v>5659511.7267183289</v>
      </c>
      <c r="H44" s="331"/>
    </row>
    <row r="45" spans="1:12" x14ac:dyDescent="0.25">
      <c r="B45" s="313"/>
      <c r="C45" s="44">
        <v>6</v>
      </c>
      <c r="D45" s="217">
        <f t="shared" si="8"/>
        <v>700000</v>
      </c>
      <c r="E45" s="12">
        <f>G44*$H$35</f>
        <v>263932.11826676561</v>
      </c>
      <c r="F45" s="311">
        <f t="shared" si="10"/>
        <v>436067.88173323439</v>
      </c>
      <c r="G45" s="332">
        <f t="shared" si="11"/>
        <v>5223443.8449850949</v>
      </c>
      <c r="H45" s="331"/>
    </row>
    <row r="46" spans="1:12" x14ac:dyDescent="0.25">
      <c r="B46" s="313"/>
      <c r="C46" s="44">
        <v>7</v>
      </c>
      <c r="D46" s="217">
        <f t="shared" si="8"/>
        <v>800000</v>
      </c>
      <c r="E46" s="12">
        <f>G45*$H$35</f>
        <v>243596.03181771602</v>
      </c>
      <c r="F46" s="311">
        <f>D46-E46</f>
        <v>556403.96818228392</v>
      </c>
      <c r="G46" s="332">
        <f t="shared" si="11"/>
        <v>4667039.8768028114</v>
      </c>
      <c r="H46" s="331"/>
    </row>
    <row r="47" spans="1:12" x14ac:dyDescent="0.25">
      <c r="B47" s="313"/>
      <c r="C47" s="44">
        <v>8</v>
      </c>
      <c r="D47" s="217">
        <f t="shared" si="8"/>
        <v>900000</v>
      </c>
      <c r="E47" s="12">
        <f>G46*$H$35</f>
        <v>217648.05520321455</v>
      </c>
      <c r="F47" s="311">
        <f t="shared" ref="F47:F51" si="12">D47-E47</f>
        <v>682351.94479678548</v>
      </c>
      <c r="G47" s="332">
        <f t="shared" si="11"/>
        <v>3984687.9320060257</v>
      </c>
      <c r="H47" s="331"/>
    </row>
    <row r="48" spans="1:12" x14ac:dyDescent="0.25">
      <c r="B48" s="313">
        <v>3</v>
      </c>
      <c r="C48" s="44">
        <v>9</v>
      </c>
      <c r="D48" s="217">
        <f t="shared" si="8"/>
        <v>1000000</v>
      </c>
      <c r="E48" s="12">
        <f>G47*$L$35</f>
        <v>228606.58107555425</v>
      </c>
      <c r="F48" s="311">
        <f t="shared" si="12"/>
        <v>771393.41892444575</v>
      </c>
      <c r="G48" s="332">
        <f t="shared" si="11"/>
        <v>3213294.5130815799</v>
      </c>
      <c r="H48" s="331"/>
    </row>
    <row r="49" spans="1:13" x14ac:dyDescent="0.25">
      <c r="B49" s="313"/>
      <c r="C49" s="44">
        <v>10</v>
      </c>
      <c r="D49" s="217">
        <f t="shared" si="8"/>
        <v>1100000</v>
      </c>
      <c r="E49" s="12">
        <f t="shared" ref="E49:E51" si="13">G48*$L$35</f>
        <v>184350.76602212244</v>
      </c>
      <c r="F49" s="311">
        <f t="shared" si="12"/>
        <v>915649.23397787753</v>
      </c>
      <c r="G49" s="332">
        <f t="shared" si="11"/>
        <v>2297645.2791037024</v>
      </c>
      <c r="H49" s="331"/>
    </row>
    <row r="50" spans="1:13" x14ac:dyDescent="0.25">
      <c r="B50" s="313"/>
      <c r="C50" s="44">
        <v>11</v>
      </c>
      <c r="D50" s="217">
        <f t="shared" si="8"/>
        <v>1200000</v>
      </c>
      <c r="E50" s="12">
        <f>G49*$L$35</f>
        <v>131818.81260042693</v>
      </c>
      <c r="F50" s="311">
        <f t="shared" si="12"/>
        <v>1068181.1873995732</v>
      </c>
      <c r="G50" s="332">
        <f t="shared" si="11"/>
        <v>1229464.0917041292</v>
      </c>
      <c r="H50" s="331"/>
    </row>
    <row r="51" spans="1:13" x14ac:dyDescent="0.25">
      <c r="B51" s="313"/>
      <c r="C51" s="44">
        <v>12</v>
      </c>
      <c r="D51" s="217">
        <f t="shared" si="8"/>
        <v>1300000</v>
      </c>
      <c r="E51" s="12">
        <f t="shared" si="13"/>
        <v>70535.908295871443</v>
      </c>
      <c r="F51" s="311">
        <f t="shared" si="12"/>
        <v>1229464.0917041285</v>
      </c>
      <c r="G51" s="332">
        <f t="shared" si="11"/>
        <v>0</v>
      </c>
      <c r="H51" s="331"/>
    </row>
    <row r="52" spans="1:13" x14ac:dyDescent="0.25">
      <c r="H52" s="331"/>
    </row>
    <row r="55" spans="1:13" x14ac:dyDescent="0.25">
      <c r="A55" s="202" t="s">
        <v>310</v>
      </c>
      <c r="B55" s="202"/>
      <c r="C55" s="202"/>
      <c r="D55" s="202"/>
      <c r="E55" s="202"/>
      <c r="F55" s="202"/>
      <c r="G55" s="202"/>
      <c r="H55" s="202"/>
      <c r="I55" s="202"/>
      <c r="J55" s="202"/>
      <c r="K55" s="202"/>
      <c r="L55" s="202"/>
    </row>
    <row r="57" spans="1:13" ht="15.75" thickBot="1" x14ac:dyDescent="0.3">
      <c r="C57" s="44" t="s">
        <v>297</v>
      </c>
      <c r="D57" s="44" t="s">
        <v>289</v>
      </c>
      <c r="E57" s="44" t="s">
        <v>194</v>
      </c>
      <c r="F57" s="306" t="s">
        <v>195</v>
      </c>
      <c r="G57" s="327" t="s">
        <v>196</v>
      </c>
    </row>
    <row r="58" spans="1:13" ht="15.75" thickBot="1" x14ac:dyDescent="0.3">
      <c r="B58" s="80" t="s">
        <v>300</v>
      </c>
      <c r="C58" s="44">
        <v>0</v>
      </c>
      <c r="D58" s="44"/>
      <c r="E58" s="44"/>
      <c r="F58" s="306"/>
      <c r="G58" s="329">
        <v>3580932.1203145715</v>
      </c>
    </row>
    <row r="59" spans="1:13" x14ac:dyDescent="0.25">
      <c r="B59" s="313">
        <v>1</v>
      </c>
      <c r="C59" s="44">
        <v>1</v>
      </c>
      <c r="D59" s="217">
        <f>$C$10+(C59-1)*$C$9</f>
        <v>200000</v>
      </c>
      <c r="E59" s="12">
        <f>G58*$D$35</f>
        <v>127331.05770831228</v>
      </c>
      <c r="F59" s="311">
        <f>D59-E59</f>
        <v>72668.942291687723</v>
      </c>
      <c r="G59" s="330">
        <f>G58-F59</f>
        <v>3508263.1780228838</v>
      </c>
    </row>
    <row r="60" spans="1:13" ht="15" customHeight="1" x14ac:dyDescent="0.25">
      <c r="B60" s="313"/>
      <c r="C60" s="44">
        <v>2</v>
      </c>
      <c r="D60" s="217">
        <f t="shared" ref="D60:D66" si="14">$C$10+(C60-1)*$C$9</f>
        <v>300000</v>
      </c>
      <c r="E60" s="12">
        <f t="shared" ref="E60:E62" si="15">G59*$D$35</f>
        <v>124747.08991063951</v>
      </c>
      <c r="F60" s="311">
        <f t="shared" ref="F60:F64" si="16">D60-E60</f>
        <v>175252.91008936049</v>
      </c>
      <c r="G60" s="332">
        <f t="shared" ref="G60:G66" si="17">G59-F60</f>
        <v>3333010.2679335233</v>
      </c>
      <c r="I60" s="164" t="s">
        <v>311</v>
      </c>
      <c r="J60" s="164"/>
      <c r="K60" s="164"/>
      <c r="L60" s="164"/>
      <c r="M60" s="164"/>
    </row>
    <row r="61" spans="1:13" x14ac:dyDescent="0.25">
      <c r="B61" s="313"/>
      <c r="C61" s="44">
        <v>3</v>
      </c>
      <c r="D61" s="217">
        <f t="shared" si="14"/>
        <v>400000</v>
      </c>
      <c r="E61" s="12">
        <f t="shared" si="15"/>
        <v>118515.43355459059</v>
      </c>
      <c r="F61" s="311">
        <f t="shared" si="16"/>
        <v>281484.56644540944</v>
      </c>
      <c r="G61" s="332">
        <f t="shared" si="17"/>
        <v>3051525.701488114</v>
      </c>
      <c r="I61" s="164"/>
      <c r="J61" s="164"/>
      <c r="K61" s="164"/>
      <c r="L61" s="164"/>
      <c r="M61" s="164"/>
    </row>
    <row r="62" spans="1:13" x14ac:dyDescent="0.25">
      <c r="B62" s="313"/>
      <c r="C62" s="44">
        <v>4</v>
      </c>
      <c r="D62" s="217">
        <f t="shared" si="14"/>
        <v>500000</v>
      </c>
      <c r="E62" s="12">
        <f t="shared" si="15"/>
        <v>108506.38385193633</v>
      </c>
      <c r="F62" s="311">
        <f t="shared" si="16"/>
        <v>391493.61614806368</v>
      </c>
      <c r="G62" s="332">
        <f t="shared" si="17"/>
        <v>2660032.08534005</v>
      </c>
      <c r="I62" s="164"/>
      <c r="J62" s="164"/>
      <c r="K62" s="164"/>
      <c r="L62" s="164"/>
      <c r="M62" s="164"/>
    </row>
    <row r="63" spans="1:13" x14ac:dyDescent="0.25">
      <c r="B63" s="313">
        <v>2</v>
      </c>
      <c r="C63" s="44">
        <v>5</v>
      </c>
      <c r="D63" s="217">
        <f t="shared" si="14"/>
        <v>600000</v>
      </c>
      <c r="E63" s="12">
        <f>G62*$H$35</f>
        <v>124050.96708730662</v>
      </c>
      <c r="F63" s="311">
        <f t="shared" si="16"/>
        <v>475949.03291269339</v>
      </c>
      <c r="G63" s="332">
        <f t="shared" si="17"/>
        <v>2184083.0524273566</v>
      </c>
      <c r="I63" s="67"/>
      <c r="J63" s="67"/>
      <c r="K63" s="67"/>
      <c r="L63" s="67"/>
    </row>
    <row r="64" spans="1:13" x14ac:dyDescent="0.25">
      <c r="B64" s="313"/>
      <c r="C64" s="44">
        <v>6</v>
      </c>
      <c r="D64" s="217">
        <f t="shared" si="14"/>
        <v>700000</v>
      </c>
      <c r="E64" s="12">
        <f>G63*$H$35</f>
        <v>101855.01759388529</v>
      </c>
      <c r="F64" s="311">
        <f t="shared" si="16"/>
        <v>598144.98240611469</v>
      </c>
      <c r="G64" s="332">
        <f t="shared" si="17"/>
        <v>1585938.0700212419</v>
      </c>
    </row>
    <row r="65" spans="2:12" x14ac:dyDescent="0.25">
      <c r="B65" s="313"/>
      <c r="C65" s="44">
        <v>7</v>
      </c>
      <c r="D65" s="217">
        <f t="shared" si="14"/>
        <v>800000</v>
      </c>
      <c r="E65" s="12">
        <f>G64*$H$35</f>
        <v>73960.442962687579</v>
      </c>
      <c r="F65" s="311">
        <f>D65-E65</f>
        <v>726039.55703731242</v>
      </c>
      <c r="G65" s="332">
        <f t="shared" si="17"/>
        <v>859898.51298392948</v>
      </c>
    </row>
    <row r="66" spans="2:12" x14ac:dyDescent="0.25">
      <c r="B66" s="313"/>
      <c r="C66" s="44">
        <v>8</v>
      </c>
      <c r="D66" s="217">
        <f t="shared" si="14"/>
        <v>900000</v>
      </c>
      <c r="E66" s="12">
        <f>G65*$H$35</f>
        <v>40101.487016069892</v>
      </c>
      <c r="F66" s="311">
        <f t="shared" ref="F66" si="18">D66-E66</f>
        <v>859898.51298393006</v>
      </c>
      <c r="G66" s="332">
        <f t="shared" si="17"/>
        <v>0</v>
      </c>
    </row>
    <row r="68" spans="2:12" x14ac:dyDescent="0.25">
      <c r="C68" s="297" t="s">
        <v>312</v>
      </c>
      <c r="D68" s="24">
        <v>611511.79204149987</v>
      </c>
    </row>
    <row r="70" spans="2:12" ht="15.75" thickBot="1" x14ac:dyDescent="0.3">
      <c r="C70" s="44" t="s">
        <v>297</v>
      </c>
      <c r="D70" s="44" t="s">
        <v>289</v>
      </c>
      <c r="E70" s="44" t="s">
        <v>194</v>
      </c>
      <c r="F70" s="306" t="s">
        <v>195</v>
      </c>
      <c r="G70" s="327" t="s">
        <v>196</v>
      </c>
    </row>
    <row r="71" spans="2:12" ht="15.75" thickBot="1" x14ac:dyDescent="0.3">
      <c r="B71" s="80" t="s">
        <v>300</v>
      </c>
      <c r="C71" s="44">
        <v>0</v>
      </c>
      <c r="D71" s="44"/>
      <c r="E71" s="44"/>
      <c r="F71" s="306"/>
      <c r="G71" s="329">
        <f>G39</f>
        <v>6468387.1435073437</v>
      </c>
      <c r="I71" s="180" t="s">
        <v>313</v>
      </c>
      <c r="J71" s="180"/>
      <c r="K71" s="180"/>
      <c r="L71" s="180"/>
    </row>
    <row r="72" spans="2:12" x14ac:dyDescent="0.25">
      <c r="B72" s="313">
        <v>1</v>
      </c>
      <c r="C72" s="44">
        <v>1</v>
      </c>
      <c r="D72" s="217">
        <f>$D$68+(C72-1)*$C$9</f>
        <v>611511.79204149987</v>
      </c>
      <c r="E72" s="12">
        <f>G71*$D$35</f>
        <v>230003.40385600112</v>
      </c>
      <c r="F72" s="311">
        <f>D72-E72</f>
        <v>381508.38818549877</v>
      </c>
      <c r="G72" s="330">
        <f>G71-F72</f>
        <v>6086878.7553218454</v>
      </c>
      <c r="I72" s="180"/>
      <c r="J72" s="180"/>
      <c r="K72" s="180"/>
      <c r="L72" s="180"/>
    </row>
    <row r="73" spans="2:12" x14ac:dyDescent="0.25">
      <c r="B73" s="313"/>
      <c r="C73" s="44">
        <v>2</v>
      </c>
      <c r="D73" s="217">
        <f t="shared" ref="D73:D79" si="19">$D$68+(C73-1)*$C$9</f>
        <v>711511.79204149987</v>
      </c>
      <c r="E73" s="12">
        <f t="shared" ref="E73:E79" si="20">G72*$D$35</f>
        <v>216437.69946393196</v>
      </c>
      <c r="F73" s="311">
        <f t="shared" ref="F73:F79" si="21">D73-E73</f>
        <v>495074.09257756791</v>
      </c>
      <c r="G73" s="330">
        <f t="shared" ref="G73:G79" si="22">G72-F73</f>
        <v>5591804.6627442772</v>
      </c>
      <c r="I73" s="180"/>
      <c r="J73" s="180"/>
      <c r="K73" s="180"/>
      <c r="L73" s="180"/>
    </row>
    <row r="74" spans="2:12" x14ac:dyDescent="0.25">
      <c r="B74" s="313"/>
      <c r="C74" s="44">
        <v>3</v>
      </c>
      <c r="D74" s="217">
        <f>$D$68+(C74-1)*$C$9</f>
        <v>811511.79204149987</v>
      </c>
      <c r="E74" s="12">
        <f t="shared" si="20"/>
        <v>198833.8170852995</v>
      </c>
      <c r="F74" s="311">
        <f t="shared" si="21"/>
        <v>612677.97495620034</v>
      </c>
      <c r="G74" s="330">
        <f t="shared" si="22"/>
        <v>4979126.6877880767</v>
      </c>
      <c r="I74" s="180"/>
      <c r="J74" s="180"/>
      <c r="K74" s="180"/>
      <c r="L74" s="180"/>
    </row>
    <row r="75" spans="2:12" x14ac:dyDescent="0.25">
      <c r="B75" s="313"/>
      <c r="C75" s="44">
        <v>4</v>
      </c>
      <c r="D75" s="217">
        <f t="shared" si="19"/>
        <v>911511.79204149987</v>
      </c>
      <c r="E75" s="12">
        <f t="shared" si="20"/>
        <v>177048.16687897648</v>
      </c>
      <c r="F75" s="311">
        <f t="shared" si="21"/>
        <v>734463.62516252336</v>
      </c>
      <c r="G75" s="330">
        <f t="shared" si="22"/>
        <v>4244663.0626255535</v>
      </c>
      <c r="I75" s="180"/>
      <c r="J75" s="180"/>
      <c r="K75" s="180"/>
      <c r="L75" s="180"/>
    </row>
    <row r="76" spans="2:12" x14ac:dyDescent="0.25">
      <c r="B76" s="313">
        <v>2</v>
      </c>
      <c r="C76" s="44">
        <v>5</v>
      </c>
      <c r="D76" s="217">
        <f t="shared" si="19"/>
        <v>1011511.7920414999</v>
      </c>
      <c r="E76" s="12">
        <f t="shared" si="20"/>
        <v>150932.05322530295</v>
      </c>
      <c r="F76" s="311">
        <f t="shared" si="21"/>
        <v>860579.73881619691</v>
      </c>
      <c r="G76" s="330">
        <f t="shared" si="22"/>
        <v>3384083.3238093564</v>
      </c>
    </row>
    <row r="77" spans="2:12" x14ac:dyDescent="0.25">
      <c r="B77" s="313"/>
      <c r="C77" s="44">
        <v>6</v>
      </c>
      <c r="D77" s="217">
        <f t="shared" si="19"/>
        <v>1111511.7920414999</v>
      </c>
      <c r="E77" s="12">
        <f t="shared" si="20"/>
        <v>120331.49317442341</v>
      </c>
      <c r="F77" s="311">
        <f t="shared" si="21"/>
        <v>991180.2988670764</v>
      </c>
      <c r="G77" s="330">
        <f t="shared" si="22"/>
        <v>2392903.0249422798</v>
      </c>
    </row>
    <row r="78" spans="2:12" x14ac:dyDescent="0.25">
      <c r="B78" s="313"/>
      <c r="C78" s="44">
        <v>7</v>
      </c>
      <c r="D78" s="217">
        <f t="shared" si="19"/>
        <v>1211511.7920414999</v>
      </c>
      <c r="E78" s="12">
        <f t="shared" si="20"/>
        <v>85087.028438996073</v>
      </c>
      <c r="F78" s="311">
        <f t="shared" si="21"/>
        <v>1126424.7636025038</v>
      </c>
      <c r="G78" s="330">
        <f t="shared" si="22"/>
        <v>1266478.261339776</v>
      </c>
    </row>
    <row r="79" spans="2:12" x14ac:dyDescent="0.25">
      <c r="B79" s="313"/>
      <c r="C79" s="44">
        <v>8</v>
      </c>
      <c r="D79" s="217">
        <f t="shared" si="19"/>
        <v>1311511.7920414999</v>
      </c>
      <c r="E79" s="12">
        <f t="shared" si="20"/>
        <v>45033.530701724594</v>
      </c>
      <c r="F79" s="311">
        <f t="shared" si="21"/>
        <v>1266478.2613397753</v>
      </c>
      <c r="G79" s="330">
        <f t="shared" si="22"/>
        <v>0</v>
      </c>
    </row>
  </sheetData>
  <mergeCells count="35">
    <mergeCell ref="I71:L75"/>
    <mergeCell ref="B72:B75"/>
    <mergeCell ref="B76:B79"/>
    <mergeCell ref="B44:B47"/>
    <mergeCell ref="B48:B51"/>
    <mergeCell ref="A55:L55"/>
    <mergeCell ref="B59:B62"/>
    <mergeCell ref="I60:M62"/>
    <mergeCell ref="B63:B66"/>
    <mergeCell ref="B35:C35"/>
    <mergeCell ref="F35:G35"/>
    <mergeCell ref="J35:K35"/>
    <mergeCell ref="H38:H39"/>
    <mergeCell ref="B40:B43"/>
    <mergeCell ref="I42:K43"/>
    <mergeCell ref="B33:C33"/>
    <mergeCell ref="F33:G33"/>
    <mergeCell ref="J33:K33"/>
    <mergeCell ref="B34:C34"/>
    <mergeCell ref="F34:G34"/>
    <mergeCell ref="J34:K34"/>
    <mergeCell ref="A14:A17"/>
    <mergeCell ref="A18:A21"/>
    <mergeCell ref="K18:N19"/>
    <mergeCell ref="A22:A25"/>
    <mergeCell ref="A29:K30"/>
    <mergeCell ref="B32:D32"/>
    <mergeCell ref="F32:H32"/>
    <mergeCell ref="J32:L32"/>
    <mergeCell ref="B1:J1"/>
    <mergeCell ref="A3:K4"/>
    <mergeCell ref="A6:K6"/>
    <mergeCell ref="E8:F8"/>
    <mergeCell ref="E9:F9"/>
    <mergeCell ref="G12:G13"/>
  </mergeCells>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zoomScale="90" zoomScaleNormal="90" workbookViewId="0">
      <selection activeCell="I62" sqref="I62"/>
    </sheetView>
  </sheetViews>
  <sheetFormatPr baseColWidth="10" defaultRowHeight="15" x14ac:dyDescent="0.25"/>
  <cols>
    <col min="2" max="2" width="14.140625" bestFit="1" customWidth="1"/>
    <col min="3" max="4" width="12.5703125" bestFit="1" customWidth="1"/>
    <col min="5" max="5" width="12.7109375" bestFit="1" customWidth="1"/>
    <col min="6" max="6" width="14.140625" bestFit="1" customWidth="1"/>
  </cols>
  <sheetData>
    <row r="1" spans="1:14" x14ac:dyDescent="0.25">
      <c r="A1" s="196" t="s">
        <v>325</v>
      </c>
      <c r="B1" s="196"/>
      <c r="C1" s="196"/>
      <c r="D1" s="196"/>
      <c r="E1" s="196"/>
      <c r="F1" s="196"/>
      <c r="G1" s="196"/>
      <c r="H1" s="196"/>
      <c r="I1" s="196"/>
      <c r="J1" s="196"/>
      <c r="K1" s="196"/>
      <c r="L1" s="196"/>
      <c r="M1" s="196"/>
      <c r="N1" s="196"/>
    </row>
    <row r="2" spans="1:14" x14ac:dyDescent="0.25">
      <c r="A2" s="79"/>
      <c r="B2" s="79"/>
      <c r="C2" s="79"/>
      <c r="D2" s="79"/>
      <c r="E2" s="79"/>
      <c r="F2" s="79"/>
      <c r="G2" s="79"/>
      <c r="H2" s="79"/>
      <c r="I2" s="79"/>
      <c r="J2" s="79"/>
      <c r="K2" s="79"/>
      <c r="L2" s="79"/>
      <c r="M2" s="79"/>
      <c r="N2" s="79"/>
    </row>
    <row r="3" spans="1:14" x14ac:dyDescent="0.25">
      <c r="A3" s="196" t="s">
        <v>324</v>
      </c>
      <c r="B3" s="196"/>
      <c r="C3" s="196"/>
      <c r="D3" s="196"/>
      <c r="E3" s="196"/>
      <c r="F3" s="196"/>
      <c r="G3" s="196"/>
      <c r="H3" s="196"/>
      <c r="I3" s="79"/>
      <c r="J3" s="79"/>
      <c r="K3" s="79"/>
      <c r="L3" s="79"/>
      <c r="M3" s="79"/>
      <c r="N3" s="79"/>
    </row>
    <row r="5" spans="1:14" x14ac:dyDescent="0.25">
      <c r="A5" t="s">
        <v>298</v>
      </c>
      <c r="B5" s="24">
        <v>100000000</v>
      </c>
    </row>
    <row r="6" spans="1:14" x14ac:dyDescent="0.25">
      <c r="A6" t="s">
        <v>31</v>
      </c>
      <c r="B6">
        <v>5</v>
      </c>
      <c r="C6" t="s">
        <v>266</v>
      </c>
    </row>
    <row r="7" spans="1:14" x14ac:dyDescent="0.25">
      <c r="A7" t="s">
        <v>321</v>
      </c>
      <c r="B7" s="223">
        <v>0.05</v>
      </c>
    </row>
    <row r="8" spans="1:14" x14ac:dyDescent="0.25">
      <c r="A8" s="297" t="s">
        <v>318</v>
      </c>
      <c r="B8" s="24">
        <v>25398606.469394937</v>
      </c>
    </row>
    <row r="10" spans="1:14" x14ac:dyDescent="0.25">
      <c r="B10" s="80" t="s">
        <v>267</v>
      </c>
      <c r="C10" s="80" t="s">
        <v>193</v>
      </c>
      <c r="D10" s="80" t="s">
        <v>194</v>
      </c>
      <c r="E10" s="80" t="s">
        <v>111</v>
      </c>
      <c r="F10" s="80" t="s">
        <v>196</v>
      </c>
    </row>
    <row r="11" spans="1:14" x14ac:dyDescent="0.25">
      <c r="B11" s="80">
        <v>0</v>
      </c>
      <c r="C11" s="80"/>
      <c r="D11" s="80"/>
      <c r="E11" s="80"/>
      <c r="F11" s="267">
        <f>B5</f>
        <v>100000000</v>
      </c>
    </row>
    <row r="12" spans="1:14" x14ac:dyDescent="0.25">
      <c r="B12" s="80">
        <v>1</v>
      </c>
      <c r="C12" s="29">
        <f>$B$8*(1-$B$7)^(B12-1)</f>
        <v>25398606.469394937</v>
      </c>
      <c r="D12" s="29">
        <f>F11*$B$7</f>
        <v>5000000</v>
      </c>
      <c r="E12" s="29">
        <f>C12-D12</f>
        <v>20398606.469394937</v>
      </c>
      <c r="F12" s="267">
        <f>F11-E12</f>
        <v>79601393.530605063</v>
      </c>
    </row>
    <row r="13" spans="1:14" x14ac:dyDescent="0.25">
      <c r="B13" s="80">
        <v>2</v>
      </c>
      <c r="C13" s="29">
        <f>$B$8*(1-$B$7)^(B13-1)</f>
        <v>24128676.14592519</v>
      </c>
      <c r="D13" s="29">
        <f>F12*$B$7</f>
        <v>3980069.6765302531</v>
      </c>
      <c r="E13" s="29">
        <f>C13-D13</f>
        <v>20148606.469394937</v>
      </c>
      <c r="F13" s="267">
        <f>F12-E13</f>
        <v>59452787.061210126</v>
      </c>
    </row>
    <row r="14" spans="1:14" x14ac:dyDescent="0.25">
      <c r="B14" s="80">
        <v>3</v>
      </c>
      <c r="C14" s="29">
        <f>$B$8*(1-$B$7)^(B14-1)</f>
        <v>22922242.338628929</v>
      </c>
      <c r="D14" s="29">
        <f>F13*$B$7</f>
        <v>2972639.3530605063</v>
      </c>
      <c r="E14" s="29">
        <f>C14-D14</f>
        <v>19949602.985568423</v>
      </c>
      <c r="F14" s="267">
        <f>F13-E14</f>
        <v>39503184.075641707</v>
      </c>
    </row>
    <row r="15" spans="1:14" x14ac:dyDescent="0.25">
      <c r="B15" s="80">
        <v>4</v>
      </c>
      <c r="C15" s="29">
        <f>$B$8*(1-$B$7)^(B15-1)</f>
        <v>21776130.221697483</v>
      </c>
      <c r="D15" s="29">
        <f>F14*$B$7</f>
        <v>1975159.2037820853</v>
      </c>
      <c r="E15" s="29">
        <f>C15-D15</f>
        <v>19800971.017915398</v>
      </c>
      <c r="F15" s="267">
        <f>F14-E15</f>
        <v>19702213.057726309</v>
      </c>
    </row>
    <row r="16" spans="1:14" x14ac:dyDescent="0.25">
      <c r="B16" s="80">
        <v>5</v>
      </c>
      <c r="C16" s="29">
        <f>$B$8*(1-$B$7)^(B16-1)</f>
        <v>20687323.71061261</v>
      </c>
      <c r="D16" s="29">
        <f>F15*$B$7</f>
        <v>985110.65288631548</v>
      </c>
      <c r="E16" s="29">
        <f>C16-D16</f>
        <v>19702213.057726294</v>
      </c>
      <c r="F16" s="29">
        <f>F15-E16</f>
        <v>0</v>
      </c>
    </row>
    <row r="17" spans="1:11" ht="15.75" thickBot="1" x14ac:dyDescent="0.3"/>
    <row r="18" spans="1:11" ht="15.75" thickBot="1" x14ac:dyDescent="0.3">
      <c r="B18" s="238" t="s">
        <v>315</v>
      </c>
      <c r="C18" s="239"/>
      <c r="D18" s="309">
        <f>SUM(D12:D16)</f>
        <v>14912978.886259161</v>
      </c>
    </row>
    <row r="20" spans="1:11" x14ac:dyDescent="0.25">
      <c r="B20" s="180" t="s">
        <v>323</v>
      </c>
      <c r="C20" s="180"/>
      <c r="D20" s="180"/>
      <c r="E20" s="180"/>
      <c r="F20" s="180"/>
    </row>
    <row r="21" spans="1:11" x14ac:dyDescent="0.25">
      <c r="B21" s="180"/>
      <c r="C21" s="180"/>
      <c r="D21" s="180"/>
      <c r="E21" s="180"/>
      <c r="F21" s="180"/>
    </row>
    <row r="23" spans="1:11" x14ac:dyDescent="0.25">
      <c r="A23" s="35" t="s">
        <v>322</v>
      </c>
      <c r="B23" s="35"/>
      <c r="C23" s="35"/>
      <c r="D23" s="35"/>
      <c r="E23" s="35"/>
      <c r="F23" s="35"/>
      <c r="G23" s="35"/>
      <c r="H23" s="35"/>
      <c r="I23" s="35"/>
      <c r="J23" s="35"/>
      <c r="K23" s="35"/>
    </row>
    <row r="25" spans="1:11" x14ac:dyDescent="0.25">
      <c r="A25" t="s">
        <v>298</v>
      </c>
      <c r="B25" s="24">
        <v>100000000</v>
      </c>
    </row>
    <row r="26" spans="1:11" x14ac:dyDescent="0.25">
      <c r="A26" t="s">
        <v>31</v>
      </c>
      <c r="B26">
        <v>5</v>
      </c>
    </row>
    <row r="27" spans="1:11" x14ac:dyDescent="0.25">
      <c r="A27" t="s">
        <v>321</v>
      </c>
      <c r="B27" s="223">
        <v>0.02</v>
      </c>
    </row>
    <row r="28" spans="1:11" x14ac:dyDescent="0.25">
      <c r="A28" t="s">
        <v>213</v>
      </c>
      <c r="B28" s="223">
        <v>0.05</v>
      </c>
    </row>
    <row r="29" spans="1:11" x14ac:dyDescent="0.25">
      <c r="A29" s="297" t="s">
        <v>318</v>
      </c>
      <c r="B29" s="24">
        <v>25035706.964820981</v>
      </c>
    </row>
    <row r="31" spans="1:11" x14ac:dyDescent="0.25">
      <c r="B31" s="80" t="s">
        <v>267</v>
      </c>
      <c r="C31" s="80" t="s">
        <v>193</v>
      </c>
      <c r="D31" s="80" t="s">
        <v>194</v>
      </c>
      <c r="E31" s="80" t="s">
        <v>111</v>
      </c>
      <c r="F31" s="80" t="s">
        <v>196</v>
      </c>
    </row>
    <row r="32" spans="1:11" x14ac:dyDescent="0.25">
      <c r="B32" s="80">
        <v>0</v>
      </c>
      <c r="C32" s="80"/>
      <c r="D32" s="80"/>
      <c r="E32" s="80"/>
      <c r="F32" s="267">
        <f>B25</f>
        <v>100000000</v>
      </c>
      <c r="H32" s="180" t="s">
        <v>320</v>
      </c>
      <c r="I32" s="180"/>
      <c r="J32" s="180"/>
      <c r="K32" s="180"/>
    </row>
    <row r="33" spans="1:11" x14ac:dyDescent="0.25">
      <c r="B33" s="80">
        <v>1</v>
      </c>
      <c r="C33" s="29">
        <f>$B$29*(1-$B$28)^(B33-1)</f>
        <v>25035706.964820981</v>
      </c>
      <c r="D33" s="29">
        <f>F32*($B$27*B33)</f>
        <v>2000000</v>
      </c>
      <c r="E33" s="29">
        <f>C33-D33</f>
        <v>23035706.964820981</v>
      </c>
      <c r="F33" s="267">
        <f>F32-E33</f>
        <v>76964293.035179019</v>
      </c>
      <c r="H33" s="180"/>
      <c r="I33" s="180"/>
      <c r="J33" s="180"/>
      <c r="K33" s="180"/>
    </row>
    <row r="34" spans="1:11" x14ac:dyDescent="0.25">
      <c r="B34" s="80">
        <v>2</v>
      </c>
      <c r="C34" s="29">
        <f>$B$29*(1-$B$28)^(B34-1)</f>
        <v>23783921.616579931</v>
      </c>
      <c r="D34" s="29">
        <f>F33*($B$27*B34)</f>
        <v>3078571.7214071606</v>
      </c>
      <c r="E34" s="29">
        <f>C34-D34</f>
        <v>20705349.895172771</v>
      </c>
      <c r="F34" s="267">
        <f>F33-E34</f>
        <v>56258943.140006244</v>
      </c>
      <c r="H34" s="180"/>
      <c r="I34" s="180"/>
      <c r="J34" s="180"/>
      <c r="K34" s="180"/>
    </row>
    <row r="35" spans="1:11" x14ac:dyDescent="0.25">
      <c r="B35" s="80">
        <v>3</v>
      </c>
      <c r="C35" s="29">
        <f>$B$29*(1-$B$28)^(B35-1)</f>
        <v>22594725.535750933</v>
      </c>
      <c r="D35" s="29">
        <f>F34*($B$27*B35)</f>
        <v>3375536.5884003746</v>
      </c>
      <c r="E35" s="29">
        <f>C35-D35</f>
        <v>19219188.947350558</v>
      </c>
      <c r="F35" s="267">
        <f>F34-E35</f>
        <v>37039754.192655683</v>
      </c>
    </row>
    <row r="36" spans="1:11" x14ac:dyDescent="0.25">
      <c r="B36" s="80">
        <v>4</v>
      </c>
      <c r="C36" s="29">
        <f>$B$29*(1-$B$28)^(B36-1)</f>
        <v>21464989.258963387</v>
      </c>
      <c r="D36" s="29">
        <f>F35*($B$27*B36)</f>
        <v>2963180.3354124548</v>
      </c>
      <c r="E36" s="29">
        <f>C36-D36</f>
        <v>18501808.923550934</v>
      </c>
      <c r="F36" s="267">
        <f>F35-E36</f>
        <v>18537945.269104749</v>
      </c>
    </row>
    <row r="37" spans="1:11" x14ac:dyDescent="0.25">
      <c r="B37" s="80">
        <v>5</v>
      </c>
      <c r="C37" s="29">
        <f>$B$29*(1-$B$28)^(B37-1)</f>
        <v>20391739.796015218</v>
      </c>
      <c r="D37" s="29">
        <f>F36*($B$27*B37)</f>
        <v>1853794.526910475</v>
      </c>
      <c r="E37" s="29">
        <f>C37-D37</f>
        <v>18537945.269104742</v>
      </c>
      <c r="F37" s="267">
        <f>F36-E37</f>
        <v>0</v>
      </c>
    </row>
    <row r="38" spans="1:11" ht="15.75" thickBot="1" x14ac:dyDescent="0.3"/>
    <row r="39" spans="1:11" ht="15.75" thickBot="1" x14ac:dyDescent="0.3">
      <c r="B39" s="238" t="s">
        <v>315</v>
      </c>
      <c r="C39" s="239"/>
      <c r="D39" s="309">
        <f>SUM(D33:D37)</f>
        <v>13271083.172130464</v>
      </c>
    </row>
    <row r="41" spans="1:11" x14ac:dyDescent="0.25">
      <c r="A41" s="196" t="s">
        <v>319</v>
      </c>
      <c r="B41" s="196"/>
      <c r="C41" s="196"/>
      <c r="D41" s="196"/>
      <c r="E41" s="196"/>
      <c r="F41" s="196"/>
      <c r="G41" s="196"/>
      <c r="H41" s="196"/>
      <c r="I41" s="196"/>
      <c r="J41" s="196"/>
    </row>
    <row r="43" spans="1:11" x14ac:dyDescent="0.25">
      <c r="B43" t="s">
        <v>318</v>
      </c>
      <c r="C43" s="24">
        <v>19174181.491565399</v>
      </c>
    </row>
    <row r="45" spans="1:11" x14ac:dyDescent="0.25">
      <c r="B45" s="80" t="s">
        <v>267</v>
      </c>
      <c r="C45" s="80" t="s">
        <v>193</v>
      </c>
      <c r="D45" s="80" t="s">
        <v>194</v>
      </c>
      <c r="E45" s="80" t="s">
        <v>111</v>
      </c>
      <c r="F45" s="80" t="s">
        <v>196</v>
      </c>
      <c r="H45" s="333" t="s">
        <v>317</v>
      </c>
      <c r="I45" s="333"/>
      <c r="J45" s="333"/>
      <c r="K45" s="333"/>
    </row>
    <row r="46" spans="1:11" x14ac:dyDescent="0.25">
      <c r="B46" s="80">
        <v>0</v>
      </c>
      <c r="C46" s="80"/>
      <c r="D46" s="80"/>
      <c r="E46" s="80"/>
      <c r="F46" s="267">
        <f>B25</f>
        <v>100000000</v>
      </c>
      <c r="H46" s="333"/>
      <c r="I46" s="333"/>
      <c r="J46" s="333"/>
      <c r="K46" s="333"/>
    </row>
    <row r="47" spans="1:11" x14ac:dyDescent="0.25">
      <c r="B47" s="80">
        <v>1</v>
      </c>
      <c r="C47" s="29">
        <f>$C$43*(1-$B$27)^(B47-1)</f>
        <v>19174181.491565399</v>
      </c>
      <c r="D47" s="29">
        <f>F46*($B$27*B47)</f>
        <v>2000000</v>
      </c>
      <c r="E47" s="29">
        <f>C47-D47</f>
        <v>17174181.491565399</v>
      </c>
      <c r="F47" s="267">
        <f>F46-E47</f>
        <v>82825818.508434594</v>
      </c>
      <c r="H47" s="333"/>
      <c r="I47" s="333"/>
      <c r="J47" s="333"/>
      <c r="K47" s="333"/>
    </row>
    <row r="48" spans="1:11" x14ac:dyDescent="0.25">
      <c r="B48" s="80">
        <v>2</v>
      </c>
      <c r="C48" s="29">
        <f>$B$29*(1-$B$27)^(B48-1)</f>
        <v>24534992.825524561</v>
      </c>
      <c r="D48" s="29">
        <f>F47*($B$27*B48)</f>
        <v>3313032.7403373839</v>
      </c>
      <c r="E48" s="29">
        <f>C48-D48</f>
        <v>21221960.085187178</v>
      </c>
      <c r="F48" s="267">
        <f>F47-E48</f>
        <v>61603858.423247412</v>
      </c>
    </row>
    <row r="49" spans="2:13" x14ac:dyDescent="0.25">
      <c r="B49" s="80">
        <v>3</v>
      </c>
      <c r="C49" s="29">
        <f>$B$29*(1-$B$27)^(B49-1)</f>
        <v>24044292.969014067</v>
      </c>
      <c r="D49" s="29">
        <f>F48*($B$27*B49)</f>
        <v>3696231.5053948448</v>
      </c>
      <c r="E49" s="29">
        <f>C49-D49</f>
        <v>20348061.463619221</v>
      </c>
      <c r="F49" s="267">
        <f>F48-E49</f>
        <v>41255796.959628195</v>
      </c>
    </row>
    <row r="50" spans="2:13" x14ac:dyDescent="0.25">
      <c r="B50" s="80">
        <v>4</v>
      </c>
      <c r="C50" s="29">
        <f>$B$29*(1-$B$27)^(B50-1)</f>
        <v>23563407.109633788</v>
      </c>
      <c r="D50" s="29">
        <f>F49*($B$27*B50)</f>
        <v>3300463.7567702555</v>
      </c>
      <c r="E50" s="29">
        <f>C50-D50</f>
        <v>20262943.352863532</v>
      </c>
      <c r="F50" s="267">
        <f>F49-E50</f>
        <v>20992853.606764663</v>
      </c>
      <c r="H50" s="180" t="s">
        <v>316</v>
      </c>
      <c r="I50" s="180"/>
      <c r="J50" s="180"/>
      <c r="K50" s="180"/>
      <c r="L50" s="180"/>
      <c r="M50" s="180"/>
    </row>
    <row r="51" spans="2:13" x14ac:dyDescent="0.25">
      <c r="B51" s="80">
        <v>5</v>
      </c>
      <c r="C51" s="29">
        <f>$B$29*(1-$B$27)^(B51-1)</f>
        <v>23092138.967441112</v>
      </c>
      <c r="D51" s="29">
        <f>F50*($B$27*B51)</f>
        <v>2099285.3606764665</v>
      </c>
      <c r="E51" s="29">
        <f>C51-D51</f>
        <v>20992853.606764644</v>
      </c>
      <c r="F51" s="267">
        <f>F50-E51</f>
        <v>0</v>
      </c>
      <c r="H51" s="180"/>
      <c r="I51" s="180"/>
      <c r="J51" s="180"/>
      <c r="K51" s="180"/>
      <c r="L51" s="180"/>
      <c r="M51" s="180"/>
    </row>
    <row r="52" spans="2:13" ht="15.75" thickBot="1" x14ac:dyDescent="0.3">
      <c r="H52" s="180"/>
      <c r="I52" s="180"/>
      <c r="J52" s="180"/>
      <c r="K52" s="180"/>
      <c r="L52" s="180"/>
      <c r="M52" s="180"/>
    </row>
    <row r="53" spans="2:13" ht="15.75" thickBot="1" x14ac:dyDescent="0.3">
      <c r="B53" s="238" t="s">
        <v>315</v>
      </c>
      <c r="C53" s="239"/>
      <c r="D53" s="309">
        <f>SUM(D47:D51)</f>
        <v>14409013.36317895</v>
      </c>
    </row>
    <row r="55" spans="2:13" x14ac:dyDescent="0.25">
      <c r="H55" s="180" t="s">
        <v>314</v>
      </c>
      <c r="I55" s="180"/>
      <c r="J55" s="180"/>
      <c r="K55" s="180"/>
      <c r="L55" s="180"/>
    </row>
    <row r="56" spans="2:13" x14ac:dyDescent="0.25">
      <c r="H56" s="180"/>
      <c r="I56" s="180"/>
      <c r="J56" s="180"/>
      <c r="K56" s="180"/>
      <c r="L56" s="180"/>
    </row>
    <row r="57" spans="2:13" x14ac:dyDescent="0.25">
      <c r="H57" s="180"/>
      <c r="I57" s="180"/>
      <c r="J57" s="180"/>
      <c r="K57" s="180"/>
      <c r="L57" s="180"/>
    </row>
    <row r="58" spans="2:13" x14ac:dyDescent="0.25">
      <c r="H58" s="180"/>
      <c r="I58" s="180"/>
      <c r="J58" s="180"/>
      <c r="K58" s="180"/>
      <c r="L58" s="180"/>
    </row>
    <row r="59" spans="2:13" x14ac:dyDescent="0.25">
      <c r="M59" s="78"/>
    </row>
  </sheetData>
  <mergeCells count="11">
    <mergeCell ref="H32:K34"/>
    <mergeCell ref="B53:C53"/>
    <mergeCell ref="H45:K47"/>
    <mergeCell ref="H50:M52"/>
    <mergeCell ref="H55:L58"/>
    <mergeCell ref="A1:N1"/>
    <mergeCell ref="A3:H3"/>
    <mergeCell ref="B18:C18"/>
    <mergeCell ref="B20:F21"/>
    <mergeCell ref="A41:J41"/>
    <mergeCell ref="B39:C39"/>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G44" sqref="G44"/>
    </sheetView>
  </sheetViews>
  <sheetFormatPr baseColWidth="10" defaultRowHeight="15" x14ac:dyDescent="0.25"/>
  <cols>
    <col min="6" max="6" width="12.5703125" bestFit="1" customWidth="1"/>
  </cols>
  <sheetData>
    <row r="1" spans="1:16" ht="23.25" x14ac:dyDescent="0.35">
      <c r="B1" s="390" t="s">
        <v>409</v>
      </c>
      <c r="C1" s="390"/>
      <c r="D1" s="390"/>
      <c r="E1" s="390"/>
      <c r="F1" s="390"/>
      <c r="G1" s="390"/>
      <c r="H1" s="390"/>
    </row>
    <row r="3" spans="1:16" x14ac:dyDescent="0.25">
      <c r="A3" s="224" t="s">
        <v>410</v>
      </c>
      <c r="B3" s="224"/>
      <c r="C3" s="224"/>
      <c r="D3" s="224"/>
      <c r="E3" s="224"/>
      <c r="F3" s="224"/>
      <c r="G3" s="224"/>
      <c r="H3" s="224"/>
      <c r="I3" s="224"/>
      <c r="J3" s="224"/>
      <c r="K3" s="224"/>
      <c r="L3" s="224"/>
      <c r="M3" s="224"/>
      <c r="N3" s="224"/>
      <c r="O3" s="224"/>
      <c r="P3" s="224"/>
    </row>
    <row r="4" spans="1:16" x14ac:dyDescent="0.25">
      <c r="A4" s="224"/>
      <c r="B4" s="224"/>
      <c r="C4" s="224"/>
      <c r="D4" s="224"/>
      <c r="E4" s="224"/>
      <c r="F4" s="224"/>
      <c r="G4" s="224"/>
      <c r="H4" s="224"/>
      <c r="I4" s="224"/>
      <c r="J4" s="224"/>
      <c r="K4" s="224"/>
      <c r="L4" s="224"/>
      <c r="M4" s="224"/>
      <c r="N4" s="224"/>
      <c r="O4" s="224"/>
      <c r="P4" s="224"/>
    </row>
    <row r="5" spans="1:16" x14ac:dyDescent="0.25">
      <c r="A5" s="224"/>
      <c r="B5" s="224"/>
      <c r="C5" s="224"/>
      <c r="D5" s="224"/>
      <c r="E5" s="224"/>
      <c r="F5" s="224"/>
      <c r="G5" s="224"/>
      <c r="H5" s="224"/>
      <c r="I5" s="224"/>
      <c r="J5" s="224"/>
      <c r="K5" s="224"/>
      <c r="L5" s="224"/>
      <c r="M5" s="224"/>
      <c r="N5" s="224"/>
      <c r="O5" s="224"/>
      <c r="P5" s="224"/>
    </row>
    <row r="7" spans="1:16" x14ac:dyDescent="0.25">
      <c r="B7" t="s">
        <v>411</v>
      </c>
      <c r="C7">
        <v>45000000</v>
      </c>
    </row>
    <row r="8" spans="1:16" x14ac:dyDescent="0.25">
      <c r="B8" t="s">
        <v>412</v>
      </c>
      <c r="C8" s="223">
        <v>0.02</v>
      </c>
      <c r="D8" t="s">
        <v>219</v>
      </c>
    </row>
    <row r="9" spans="1:16" x14ac:dyDescent="0.25">
      <c r="B9" t="s">
        <v>413</v>
      </c>
      <c r="C9" s="223">
        <v>0.03</v>
      </c>
    </row>
    <row r="10" spans="1:16" x14ac:dyDescent="0.25">
      <c r="B10" s="297" t="s">
        <v>318</v>
      </c>
      <c r="C10" s="24">
        <v>565570.94622359192</v>
      </c>
    </row>
    <row r="12" spans="1:16" x14ac:dyDescent="0.25">
      <c r="B12" s="44" t="s">
        <v>264</v>
      </c>
      <c r="C12" s="44" t="s">
        <v>193</v>
      </c>
      <c r="D12" s="44" t="s">
        <v>194</v>
      </c>
      <c r="E12" s="44" t="s">
        <v>195</v>
      </c>
      <c r="F12" s="44" t="s">
        <v>196</v>
      </c>
    </row>
    <row r="13" spans="1:16" x14ac:dyDescent="0.25">
      <c r="B13" s="44">
        <v>0</v>
      </c>
      <c r="C13" s="12"/>
      <c r="D13" s="12"/>
      <c r="E13" s="12"/>
      <c r="F13" s="12">
        <f>C7</f>
        <v>45000000</v>
      </c>
    </row>
    <row r="14" spans="1:16" x14ac:dyDescent="0.25">
      <c r="B14" s="44">
        <v>1</v>
      </c>
      <c r="C14" s="12">
        <f>$C$10*(1+$C$9)^(B14-1)</f>
        <v>565570.94622359192</v>
      </c>
      <c r="D14" s="12">
        <f>F13*$C$8</f>
        <v>900000</v>
      </c>
      <c r="E14" s="12">
        <f>C14-D14</f>
        <v>-334429.05377640808</v>
      </c>
      <c r="F14" s="12">
        <f>F13-E14</f>
        <v>45334429.053776406</v>
      </c>
    </row>
    <row r="15" spans="1:16" x14ac:dyDescent="0.25">
      <c r="B15" s="44">
        <v>2</v>
      </c>
      <c r="C15" s="12">
        <f t="shared" ref="C15:C37" si="0">$C$10*(1+$C$9)^(B15-1)</f>
        <v>582538.07461029966</v>
      </c>
      <c r="D15" s="12">
        <f t="shared" ref="D15:D37" si="1">F14*$C$8</f>
        <v>906688.58107552817</v>
      </c>
      <c r="E15" s="12">
        <f t="shared" ref="E15:E36" si="2">C15-D15</f>
        <v>-324150.50646522851</v>
      </c>
      <c r="F15" s="12">
        <f t="shared" ref="F15:F37" si="3">F14-E15</f>
        <v>45658579.560241632</v>
      </c>
    </row>
    <row r="16" spans="1:16" x14ac:dyDescent="0.25">
      <c r="B16" s="44">
        <v>3</v>
      </c>
      <c r="C16" s="12">
        <f t="shared" si="0"/>
        <v>600014.21684860869</v>
      </c>
      <c r="D16" s="12">
        <f t="shared" si="1"/>
        <v>913171.59120483266</v>
      </c>
      <c r="E16" s="12">
        <f t="shared" si="2"/>
        <v>-313157.37435622397</v>
      </c>
      <c r="F16" s="12">
        <f t="shared" si="3"/>
        <v>45971736.934597857</v>
      </c>
    </row>
    <row r="17" spans="2:6" x14ac:dyDescent="0.25">
      <c r="B17" s="44">
        <v>4</v>
      </c>
      <c r="C17" s="12">
        <f t="shared" si="0"/>
        <v>618014.64335406688</v>
      </c>
      <c r="D17" s="12">
        <f t="shared" si="1"/>
        <v>919434.7386919572</v>
      </c>
      <c r="E17" s="12">
        <f t="shared" si="2"/>
        <v>-301420.09533789032</v>
      </c>
      <c r="F17" s="12">
        <f t="shared" si="3"/>
        <v>46273157.029935747</v>
      </c>
    </row>
    <row r="18" spans="2:6" x14ac:dyDescent="0.25">
      <c r="B18" s="44">
        <v>5</v>
      </c>
      <c r="C18" s="12">
        <f>$C$10*(1+$C$9)^(B18-1)</f>
        <v>636555.08265468886</v>
      </c>
      <c r="D18" s="12">
        <f t="shared" si="1"/>
        <v>925463.14059871493</v>
      </c>
      <c r="E18" s="12">
        <f t="shared" si="2"/>
        <v>-288908.05794402608</v>
      </c>
      <c r="F18" s="12">
        <f t="shared" si="3"/>
        <v>46562065.087879777</v>
      </c>
    </row>
    <row r="19" spans="2:6" x14ac:dyDescent="0.25">
      <c r="B19" s="44">
        <v>6</v>
      </c>
      <c r="C19" s="12">
        <f t="shared" si="0"/>
        <v>655651.73513432953</v>
      </c>
      <c r="D19" s="12">
        <f t="shared" si="1"/>
        <v>931241.3017575955</v>
      </c>
      <c r="E19" s="12">
        <f t="shared" si="2"/>
        <v>-275589.56662326597</v>
      </c>
      <c r="F19" s="12">
        <f t="shared" si="3"/>
        <v>46837654.65450304</v>
      </c>
    </row>
    <row r="20" spans="2:6" x14ac:dyDescent="0.25">
      <c r="B20" s="44">
        <v>7</v>
      </c>
      <c r="C20" s="12">
        <f t="shared" si="0"/>
        <v>675321.28718835942</v>
      </c>
      <c r="D20" s="12">
        <f t="shared" si="1"/>
        <v>936753.09309006087</v>
      </c>
      <c r="E20" s="12">
        <f t="shared" si="2"/>
        <v>-261431.80590170145</v>
      </c>
      <c r="F20" s="12">
        <f t="shared" si="3"/>
        <v>47099086.460404739</v>
      </c>
    </row>
    <row r="21" spans="2:6" x14ac:dyDescent="0.25">
      <c r="B21" s="44">
        <v>8</v>
      </c>
      <c r="C21" s="12">
        <f t="shared" si="0"/>
        <v>695580.92580401024</v>
      </c>
      <c r="D21" s="12">
        <f t="shared" si="1"/>
        <v>941981.72920809477</v>
      </c>
      <c r="E21" s="12">
        <f t="shared" si="2"/>
        <v>-246400.80340408452</v>
      </c>
      <c r="F21" s="12">
        <f t="shared" si="3"/>
        <v>47345487.263808824</v>
      </c>
    </row>
    <row r="22" spans="2:6" x14ac:dyDescent="0.25">
      <c r="B22" s="44">
        <v>9</v>
      </c>
      <c r="C22" s="12">
        <f t="shared" si="0"/>
        <v>716448.35357813048</v>
      </c>
      <c r="D22" s="12">
        <f t="shared" si="1"/>
        <v>946909.74527617649</v>
      </c>
      <c r="E22" s="12">
        <f t="shared" si="2"/>
        <v>-230461.39169804601</v>
      </c>
      <c r="F22" s="12">
        <f t="shared" si="3"/>
        <v>47575948.655506872</v>
      </c>
    </row>
    <row r="23" spans="2:6" x14ac:dyDescent="0.25">
      <c r="B23" s="44">
        <v>10</v>
      </c>
      <c r="C23" s="12">
        <f t="shared" si="0"/>
        <v>737941.80418547441</v>
      </c>
      <c r="D23" s="12">
        <f t="shared" si="1"/>
        <v>951518.97311013751</v>
      </c>
      <c r="E23" s="12">
        <f t="shared" si="2"/>
        <v>-213577.1689246631</v>
      </c>
      <c r="F23" s="12">
        <f t="shared" si="3"/>
        <v>47789525.824431531</v>
      </c>
    </row>
    <row r="24" spans="2:6" x14ac:dyDescent="0.25">
      <c r="B24" s="44">
        <v>11</v>
      </c>
      <c r="C24" s="12">
        <f t="shared" si="0"/>
        <v>760080.05831103865</v>
      </c>
      <c r="D24" s="12">
        <f t="shared" si="1"/>
        <v>955790.51648863067</v>
      </c>
      <c r="E24" s="12">
        <f t="shared" si="2"/>
        <v>-195710.45817759202</v>
      </c>
      <c r="F24" s="12">
        <f t="shared" si="3"/>
        <v>47985236.28260912</v>
      </c>
    </row>
    <row r="25" spans="2:6" x14ac:dyDescent="0.25">
      <c r="B25" s="44">
        <v>12</v>
      </c>
      <c r="C25" s="12">
        <f t="shared" si="0"/>
        <v>782882.46006036981</v>
      </c>
      <c r="D25" s="12">
        <f t="shared" si="1"/>
        <v>959704.72565218247</v>
      </c>
      <c r="E25" s="12">
        <f t="shared" si="2"/>
        <v>-176822.26559181267</v>
      </c>
      <c r="F25" s="12">
        <f t="shared" si="3"/>
        <v>48162058.548200935</v>
      </c>
    </row>
    <row r="26" spans="2:6" x14ac:dyDescent="0.25">
      <c r="B26" s="44">
        <v>13</v>
      </c>
      <c r="C26" s="12">
        <f t="shared" si="0"/>
        <v>806368.9338621808</v>
      </c>
      <c r="D26" s="12">
        <f t="shared" si="1"/>
        <v>963241.17096401867</v>
      </c>
      <c r="E26" s="12">
        <f t="shared" si="2"/>
        <v>-156872.23710183788</v>
      </c>
      <c r="F26" s="12">
        <f t="shared" si="3"/>
        <v>48318930.785302773</v>
      </c>
    </row>
    <row r="27" spans="2:6" x14ac:dyDescent="0.25">
      <c r="B27" s="44">
        <v>14</v>
      </c>
      <c r="C27" s="12">
        <f t="shared" si="0"/>
        <v>830560.0018780462</v>
      </c>
      <c r="D27" s="12">
        <f t="shared" si="1"/>
        <v>966378.61570605543</v>
      </c>
      <c r="E27" s="12">
        <f t="shared" si="2"/>
        <v>-135818.61382800923</v>
      </c>
      <c r="F27" s="12">
        <f t="shared" si="3"/>
        <v>48454749.399130784</v>
      </c>
    </row>
    <row r="28" spans="2:6" x14ac:dyDescent="0.25">
      <c r="B28" s="44">
        <v>15</v>
      </c>
      <c r="C28" s="12">
        <f t="shared" si="0"/>
        <v>855476.80193438765</v>
      </c>
      <c r="D28" s="12">
        <f t="shared" si="1"/>
        <v>969094.98798261571</v>
      </c>
      <c r="E28" s="12">
        <f t="shared" si="2"/>
        <v>-113618.18604822806</v>
      </c>
      <c r="F28" s="12">
        <f t="shared" si="3"/>
        <v>48568367.585179009</v>
      </c>
    </row>
    <row r="29" spans="2:6" x14ac:dyDescent="0.25">
      <c r="B29" s="44">
        <v>16</v>
      </c>
      <c r="C29" s="12">
        <f t="shared" si="0"/>
        <v>881141.10599241941</v>
      </c>
      <c r="D29" s="12">
        <f t="shared" si="1"/>
        <v>971367.35170358024</v>
      </c>
      <c r="E29" s="12">
        <f t="shared" si="2"/>
        <v>-90226.245711160824</v>
      </c>
      <c r="F29" s="12">
        <f t="shared" si="3"/>
        <v>48658593.830890171</v>
      </c>
    </row>
    <row r="30" spans="2:6" x14ac:dyDescent="0.25">
      <c r="B30" s="44">
        <v>17</v>
      </c>
      <c r="C30" s="12">
        <f t="shared" si="0"/>
        <v>907575.3391721918</v>
      </c>
      <c r="D30" s="12">
        <f t="shared" si="1"/>
        <v>973171.87661780347</v>
      </c>
      <c r="E30" s="12">
        <f t="shared" si="2"/>
        <v>-65596.53744561167</v>
      </c>
      <c r="F30" s="12">
        <f t="shared" si="3"/>
        <v>48724190.368335783</v>
      </c>
    </row>
    <row r="31" spans="2:6" x14ac:dyDescent="0.25">
      <c r="B31" s="44">
        <v>18</v>
      </c>
      <c r="C31" s="12">
        <f t="shared" si="0"/>
        <v>934802.59934735752</v>
      </c>
      <c r="D31" s="12">
        <f t="shared" si="1"/>
        <v>974483.80736671574</v>
      </c>
      <c r="E31" s="12">
        <f t="shared" si="2"/>
        <v>-39681.208019358222</v>
      </c>
      <c r="F31" s="12">
        <f t="shared" si="3"/>
        <v>48763871.576355144</v>
      </c>
    </row>
    <row r="32" spans="2:6" x14ac:dyDescent="0.25">
      <c r="B32" s="44">
        <v>19</v>
      </c>
      <c r="C32" s="12">
        <f t="shared" si="0"/>
        <v>962846.67732777831</v>
      </c>
      <c r="D32" s="12">
        <f t="shared" si="1"/>
        <v>975277.43152710295</v>
      </c>
      <c r="E32" s="12">
        <f t="shared" si="2"/>
        <v>-12430.754199324641</v>
      </c>
      <c r="F32" s="12">
        <f t="shared" si="3"/>
        <v>48776302.33055447</v>
      </c>
    </row>
    <row r="33" spans="1:9" x14ac:dyDescent="0.25">
      <c r="B33" s="44">
        <v>20</v>
      </c>
      <c r="C33" s="12">
        <f t="shared" si="0"/>
        <v>991732.07764761162</v>
      </c>
      <c r="D33" s="12">
        <f t="shared" si="1"/>
        <v>975526.04661108938</v>
      </c>
      <c r="E33" s="12">
        <f t="shared" si="2"/>
        <v>16206.031036522239</v>
      </c>
      <c r="F33" s="12">
        <f t="shared" si="3"/>
        <v>48760096.299517944</v>
      </c>
    </row>
    <row r="34" spans="1:9" x14ac:dyDescent="0.25">
      <c r="B34" s="44">
        <v>21</v>
      </c>
      <c r="C34" s="12">
        <f t="shared" si="0"/>
        <v>1021484.0399770399</v>
      </c>
      <c r="D34" s="12">
        <f t="shared" si="1"/>
        <v>975201.92599035893</v>
      </c>
      <c r="E34" s="12">
        <f t="shared" si="2"/>
        <v>46282.113986680983</v>
      </c>
      <c r="F34" s="12">
        <f t="shared" si="3"/>
        <v>48713814.185531266</v>
      </c>
    </row>
    <row r="35" spans="1:9" x14ac:dyDescent="0.25">
      <c r="B35" s="44">
        <v>22</v>
      </c>
      <c r="C35" s="12">
        <f t="shared" si="0"/>
        <v>1052128.561176351</v>
      </c>
      <c r="D35" s="12">
        <f t="shared" si="1"/>
        <v>974276.28371062537</v>
      </c>
      <c r="E35" s="12">
        <f t="shared" si="2"/>
        <v>77852.277465725667</v>
      </c>
      <c r="F35" s="12">
        <f t="shared" si="3"/>
        <v>48635961.908065543</v>
      </c>
    </row>
    <row r="36" spans="1:9" x14ac:dyDescent="0.25">
      <c r="B36" s="44">
        <v>23</v>
      </c>
      <c r="C36" s="12">
        <f t="shared" si="0"/>
        <v>1083692.4180116416</v>
      </c>
      <c r="D36" s="12">
        <f t="shared" si="1"/>
        <v>972719.2381613109</v>
      </c>
      <c r="E36" s="12">
        <f t="shared" si="2"/>
        <v>110973.17985033069</v>
      </c>
      <c r="F36" s="12">
        <f t="shared" si="3"/>
        <v>48524988.72821521</v>
      </c>
    </row>
    <row r="37" spans="1:9" ht="15.75" thickBot="1" x14ac:dyDescent="0.3">
      <c r="B37" s="391">
        <v>24</v>
      </c>
      <c r="C37" s="392">
        <f t="shared" si="0"/>
        <v>1116203.1905519909</v>
      </c>
      <c r="D37" s="393">
        <f t="shared" si="1"/>
        <v>970499.77456430427</v>
      </c>
      <c r="E37" s="393">
        <f>C37-D37+5000000</f>
        <v>5145703.4159876863</v>
      </c>
      <c r="F37" s="393">
        <f t="shared" si="3"/>
        <v>43379285.312227525</v>
      </c>
    </row>
    <row r="38" spans="1:9" x14ac:dyDescent="0.25">
      <c r="A38" s="394">
        <v>1</v>
      </c>
      <c r="B38" s="395">
        <v>25</v>
      </c>
      <c r="C38" s="396">
        <f>$I$38</f>
        <v>1240000.5408354322</v>
      </c>
      <c r="D38" s="397">
        <f>$C$8*F37</f>
        <v>867585.70624455053</v>
      </c>
      <c r="E38" s="12">
        <f>C38-D38</f>
        <v>372414.83459088171</v>
      </c>
      <c r="F38" s="12">
        <f>F37-E38</f>
        <v>43006870.477636643</v>
      </c>
      <c r="H38" s="352" t="s">
        <v>414</v>
      </c>
      <c r="I38" s="398">
        <v>1240000.5408354322</v>
      </c>
    </row>
    <row r="39" spans="1:9" ht="15.75" thickBot="1" x14ac:dyDescent="0.3">
      <c r="A39" s="394"/>
      <c r="B39" s="395">
        <v>26</v>
      </c>
      <c r="C39" s="399">
        <f t="shared" ref="C39:C48" si="4">$I$38</f>
        <v>1240000.5408354322</v>
      </c>
      <c r="D39" s="397">
        <f t="shared" ref="D39:D48" si="5">$C$8*F38</f>
        <v>860137.40955273283</v>
      </c>
      <c r="E39" s="12">
        <f t="shared" ref="E39:E49" si="6">C39-D39</f>
        <v>379863.13128269941</v>
      </c>
      <c r="F39" s="12">
        <f t="shared" ref="F39:F85" si="7">F38-E39</f>
        <v>42627007.346353941</v>
      </c>
      <c r="H39" s="400" t="s">
        <v>413</v>
      </c>
      <c r="I39" s="401">
        <v>0.06</v>
      </c>
    </row>
    <row r="40" spans="1:9" x14ac:dyDescent="0.25">
      <c r="A40" s="394"/>
      <c r="B40" s="395">
        <v>27</v>
      </c>
      <c r="C40" s="399">
        <f t="shared" si="4"/>
        <v>1240000.5408354322</v>
      </c>
      <c r="D40" s="397">
        <f t="shared" si="5"/>
        <v>852540.14692707884</v>
      </c>
      <c r="E40" s="12">
        <f t="shared" si="6"/>
        <v>387460.39390835341</v>
      </c>
      <c r="F40" s="12">
        <f t="shared" si="7"/>
        <v>42239546.952445589</v>
      </c>
    </row>
    <row r="41" spans="1:9" x14ac:dyDescent="0.25">
      <c r="A41" s="394"/>
      <c r="B41" s="395">
        <v>28</v>
      </c>
      <c r="C41" s="399">
        <f t="shared" si="4"/>
        <v>1240000.5408354322</v>
      </c>
      <c r="D41" s="397">
        <f t="shared" si="5"/>
        <v>844790.93904891179</v>
      </c>
      <c r="E41" s="12">
        <f t="shared" si="6"/>
        <v>395209.60178652045</v>
      </c>
      <c r="F41" s="12">
        <f t="shared" si="7"/>
        <v>41844337.350659065</v>
      </c>
    </row>
    <row r="42" spans="1:9" x14ac:dyDescent="0.25">
      <c r="A42" s="394"/>
      <c r="B42" s="395">
        <v>29</v>
      </c>
      <c r="C42" s="399">
        <f t="shared" si="4"/>
        <v>1240000.5408354322</v>
      </c>
      <c r="D42" s="397">
        <f t="shared" si="5"/>
        <v>836886.74701318133</v>
      </c>
      <c r="E42" s="12">
        <f t="shared" si="6"/>
        <v>403113.79382225091</v>
      </c>
      <c r="F42" s="12">
        <f t="shared" si="7"/>
        <v>41441223.556836814</v>
      </c>
    </row>
    <row r="43" spans="1:9" x14ac:dyDescent="0.25">
      <c r="A43" s="394"/>
      <c r="B43" s="395">
        <v>30</v>
      </c>
      <c r="C43" s="399">
        <f t="shared" si="4"/>
        <v>1240000.5408354322</v>
      </c>
      <c r="D43" s="397">
        <f t="shared" si="5"/>
        <v>828824.47113673633</v>
      </c>
      <c r="E43" s="12">
        <f t="shared" si="6"/>
        <v>411176.06969869591</v>
      </c>
      <c r="F43" s="12">
        <f t="shared" si="7"/>
        <v>41030047.487138115</v>
      </c>
    </row>
    <row r="44" spans="1:9" x14ac:dyDescent="0.25">
      <c r="A44" s="394"/>
      <c r="B44" s="395">
        <v>31</v>
      </c>
      <c r="C44" s="399">
        <f t="shared" si="4"/>
        <v>1240000.5408354322</v>
      </c>
      <c r="D44" s="397">
        <f t="shared" si="5"/>
        <v>820600.94974276237</v>
      </c>
      <c r="E44" s="12">
        <f t="shared" si="6"/>
        <v>419399.59109266987</v>
      </c>
      <c r="F44" s="12">
        <f t="shared" si="7"/>
        <v>40610647.896045446</v>
      </c>
    </row>
    <row r="45" spans="1:9" x14ac:dyDescent="0.25">
      <c r="A45" s="394"/>
      <c r="B45" s="395">
        <v>32</v>
      </c>
      <c r="C45" s="399">
        <f t="shared" si="4"/>
        <v>1240000.5408354322</v>
      </c>
      <c r="D45" s="397">
        <f t="shared" si="5"/>
        <v>812212.95792090893</v>
      </c>
      <c r="E45" s="12">
        <f t="shared" si="6"/>
        <v>427787.58291452331</v>
      </c>
      <c r="F45" s="12">
        <f t="shared" si="7"/>
        <v>40182860.313130923</v>
      </c>
    </row>
    <row r="46" spans="1:9" x14ac:dyDescent="0.25">
      <c r="A46" s="394"/>
      <c r="B46" s="395">
        <v>33</v>
      </c>
      <c r="C46" s="399">
        <f t="shared" si="4"/>
        <v>1240000.5408354322</v>
      </c>
      <c r="D46" s="397">
        <f t="shared" si="5"/>
        <v>803657.20626261842</v>
      </c>
      <c r="E46" s="12">
        <f t="shared" si="6"/>
        <v>436343.33457281382</v>
      </c>
      <c r="F46" s="12">
        <f t="shared" si="7"/>
        <v>39746516.978558108</v>
      </c>
    </row>
    <row r="47" spans="1:9" x14ac:dyDescent="0.25">
      <c r="A47" s="394"/>
      <c r="B47" s="395">
        <v>34</v>
      </c>
      <c r="C47" s="399">
        <f t="shared" si="4"/>
        <v>1240000.5408354322</v>
      </c>
      <c r="D47" s="397">
        <f t="shared" si="5"/>
        <v>794930.33957116213</v>
      </c>
      <c r="E47" s="12">
        <f t="shared" si="6"/>
        <v>445070.20126427012</v>
      </c>
      <c r="F47" s="12">
        <f t="shared" si="7"/>
        <v>39301446.777293839</v>
      </c>
    </row>
    <row r="48" spans="1:9" x14ac:dyDescent="0.25">
      <c r="A48" s="394"/>
      <c r="B48" s="395">
        <v>35</v>
      </c>
      <c r="C48" s="399">
        <f t="shared" si="4"/>
        <v>1240000.5408354322</v>
      </c>
      <c r="D48" s="397">
        <f t="shared" si="5"/>
        <v>786028.93554587674</v>
      </c>
      <c r="E48" s="12">
        <f t="shared" si="6"/>
        <v>453971.6052895555</v>
      </c>
      <c r="F48" s="12">
        <f t="shared" si="7"/>
        <v>38847475.172004282</v>
      </c>
    </row>
    <row r="49" spans="1:6" x14ac:dyDescent="0.25">
      <c r="A49" s="394"/>
      <c r="B49" s="395">
        <v>36</v>
      </c>
      <c r="C49" s="399">
        <f>I38*(1+I39)^A38</f>
        <v>1314400.5732855583</v>
      </c>
      <c r="D49" s="397">
        <f>$C$8*F48</f>
        <v>776949.50344008568</v>
      </c>
      <c r="E49" s="12">
        <f t="shared" si="6"/>
        <v>537451.06984547258</v>
      </c>
      <c r="F49" s="12">
        <f t="shared" si="7"/>
        <v>38310024.102158807</v>
      </c>
    </row>
    <row r="50" spans="1:6" x14ac:dyDescent="0.25">
      <c r="A50" s="394">
        <v>2</v>
      </c>
      <c r="B50" s="395">
        <v>37</v>
      </c>
      <c r="C50" s="399">
        <f>$C$49</f>
        <v>1314400.5732855583</v>
      </c>
      <c r="D50" s="397">
        <f t="shared" ref="D50:D59" si="8">$C$8*F49</f>
        <v>766200.48204317619</v>
      </c>
      <c r="E50" s="12">
        <f>C50-D50</f>
        <v>548200.09124238207</v>
      </c>
      <c r="F50" s="12">
        <f t="shared" si="7"/>
        <v>37761824.010916427</v>
      </c>
    </row>
    <row r="51" spans="1:6" x14ac:dyDescent="0.25">
      <c r="A51" s="394"/>
      <c r="B51" s="395">
        <v>38</v>
      </c>
      <c r="C51" s="399">
        <f t="shared" ref="C51:C60" si="9">$C$49</f>
        <v>1314400.5732855583</v>
      </c>
      <c r="D51" s="397">
        <f t="shared" si="8"/>
        <v>755236.48021832854</v>
      </c>
      <c r="E51" s="12">
        <f t="shared" ref="E51:E84" si="10">C51-D51</f>
        <v>559164.09306722973</v>
      </c>
      <c r="F51" s="12">
        <f t="shared" si="7"/>
        <v>37202659.917849198</v>
      </c>
    </row>
    <row r="52" spans="1:6" x14ac:dyDescent="0.25">
      <c r="A52" s="394"/>
      <c r="B52" s="395">
        <v>39</v>
      </c>
      <c r="C52" s="399">
        <f t="shared" si="9"/>
        <v>1314400.5732855583</v>
      </c>
      <c r="D52" s="397">
        <f t="shared" si="8"/>
        <v>744053.19835698395</v>
      </c>
      <c r="E52" s="12">
        <f t="shared" si="10"/>
        <v>570347.37492857431</v>
      </c>
      <c r="F52" s="12">
        <f t="shared" si="7"/>
        <v>36632312.542920627</v>
      </c>
    </row>
    <row r="53" spans="1:6" x14ac:dyDescent="0.25">
      <c r="A53" s="394"/>
      <c r="B53" s="395">
        <v>40</v>
      </c>
      <c r="C53" s="399">
        <f t="shared" si="9"/>
        <v>1314400.5732855583</v>
      </c>
      <c r="D53" s="397">
        <f t="shared" si="8"/>
        <v>732646.25085841259</v>
      </c>
      <c r="E53" s="12">
        <f t="shared" si="10"/>
        <v>581754.32242714567</v>
      </c>
      <c r="F53" s="12">
        <f t="shared" si="7"/>
        <v>36050558.220493481</v>
      </c>
    </row>
    <row r="54" spans="1:6" x14ac:dyDescent="0.25">
      <c r="A54" s="394"/>
      <c r="B54" s="395">
        <v>41</v>
      </c>
      <c r="C54" s="399">
        <f t="shared" si="9"/>
        <v>1314400.5732855583</v>
      </c>
      <c r="D54" s="397">
        <f t="shared" si="8"/>
        <v>721011.16440986958</v>
      </c>
      <c r="E54" s="12">
        <f t="shared" si="10"/>
        <v>593389.40887568868</v>
      </c>
      <c r="F54" s="12">
        <f t="shared" si="7"/>
        <v>35457168.811617792</v>
      </c>
    </row>
    <row r="55" spans="1:6" x14ac:dyDescent="0.25">
      <c r="A55" s="394"/>
      <c r="B55" s="395">
        <v>42</v>
      </c>
      <c r="C55" s="399">
        <f t="shared" si="9"/>
        <v>1314400.5732855583</v>
      </c>
      <c r="D55" s="397">
        <f t="shared" si="8"/>
        <v>709143.37623235583</v>
      </c>
      <c r="E55" s="12">
        <f t="shared" si="10"/>
        <v>605257.19705320243</v>
      </c>
      <c r="F55" s="12">
        <f t="shared" si="7"/>
        <v>34851911.61456459</v>
      </c>
    </row>
    <row r="56" spans="1:6" x14ac:dyDescent="0.25">
      <c r="A56" s="394"/>
      <c r="B56" s="395">
        <v>43</v>
      </c>
      <c r="C56" s="399">
        <f t="shared" si="9"/>
        <v>1314400.5732855583</v>
      </c>
      <c r="D56" s="397">
        <f t="shared" si="8"/>
        <v>697038.23229129182</v>
      </c>
      <c r="E56" s="12">
        <f t="shared" si="10"/>
        <v>617362.34099426644</v>
      </c>
      <c r="F56" s="12">
        <f t="shared" si="7"/>
        <v>34234549.273570322</v>
      </c>
    </row>
    <row r="57" spans="1:6" x14ac:dyDescent="0.25">
      <c r="A57" s="394"/>
      <c r="B57" s="395">
        <v>44</v>
      </c>
      <c r="C57" s="399">
        <f t="shared" si="9"/>
        <v>1314400.5732855583</v>
      </c>
      <c r="D57" s="397">
        <f t="shared" si="8"/>
        <v>684690.98547140649</v>
      </c>
      <c r="E57" s="12">
        <f t="shared" si="10"/>
        <v>629709.58781415178</v>
      </c>
      <c r="F57" s="12">
        <f t="shared" si="7"/>
        <v>33604839.685756169</v>
      </c>
    </row>
    <row r="58" spans="1:6" x14ac:dyDescent="0.25">
      <c r="A58" s="394"/>
      <c r="B58" s="395">
        <v>45</v>
      </c>
      <c r="C58" s="399">
        <f t="shared" si="9"/>
        <v>1314400.5732855583</v>
      </c>
      <c r="D58" s="397">
        <f t="shared" si="8"/>
        <v>672096.79371512344</v>
      </c>
      <c r="E58" s="12">
        <f t="shared" si="10"/>
        <v>642303.77957043482</v>
      </c>
      <c r="F58" s="12">
        <f t="shared" si="7"/>
        <v>32962535.906185735</v>
      </c>
    </row>
    <row r="59" spans="1:6" x14ac:dyDescent="0.25">
      <c r="A59" s="394"/>
      <c r="B59" s="395">
        <v>46</v>
      </c>
      <c r="C59" s="399">
        <f t="shared" si="9"/>
        <v>1314400.5732855583</v>
      </c>
      <c r="D59" s="397">
        <f t="shared" si="8"/>
        <v>659250.71812371467</v>
      </c>
      <c r="E59" s="12">
        <f t="shared" si="10"/>
        <v>655149.85516184359</v>
      </c>
      <c r="F59" s="12">
        <f t="shared" si="7"/>
        <v>32307386.051023893</v>
      </c>
    </row>
    <row r="60" spans="1:6" x14ac:dyDescent="0.25">
      <c r="A60" s="394"/>
      <c r="B60" s="395">
        <v>47</v>
      </c>
      <c r="C60" s="399">
        <f t="shared" si="9"/>
        <v>1314400.5732855583</v>
      </c>
      <c r="D60" s="397">
        <f>$C$8*F59</f>
        <v>646147.72102047782</v>
      </c>
      <c r="E60" s="12">
        <f t="shared" si="10"/>
        <v>668252.85226508044</v>
      </c>
      <c r="F60" s="12">
        <f t="shared" si="7"/>
        <v>31639133.198758811</v>
      </c>
    </row>
    <row r="61" spans="1:6" x14ac:dyDescent="0.25">
      <c r="A61" s="394"/>
      <c r="B61" s="395">
        <v>48</v>
      </c>
      <c r="C61" s="399">
        <f>C60*(1+I39)^A50</f>
        <v>1476860.4841436534</v>
      </c>
      <c r="D61" s="397">
        <f>$C$8*F60</f>
        <v>632782.66397517629</v>
      </c>
      <c r="E61" s="12">
        <f t="shared" si="10"/>
        <v>844077.82016847713</v>
      </c>
      <c r="F61" s="12">
        <f t="shared" si="7"/>
        <v>30795055.378590334</v>
      </c>
    </row>
    <row r="62" spans="1:6" x14ac:dyDescent="0.25">
      <c r="A62" s="394">
        <v>3</v>
      </c>
      <c r="B62" s="395">
        <v>49</v>
      </c>
      <c r="C62" s="399">
        <f>$C$61</f>
        <v>1476860.4841436534</v>
      </c>
      <c r="D62" s="397">
        <f t="shared" ref="D62:D85" si="11">$C$8*F61</f>
        <v>615901.10757180664</v>
      </c>
      <c r="E62" s="12">
        <f t="shared" si="10"/>
        <v>860959.37657184678</v>
      </c>
      <c r="F62" s="12">
        <f t="shared" si="7"/>
        <v>29934096.002018489</v>
      </c>
    </row>
    <row r="63" spans="1:6" x14ac:dyDescent="0.25">
      <c r="A63" s="394"/>
      <c r="B63" s="395">
        <v>50</v>
      </c>
      <c r="C63" s="399">
        <f t="shared" ref="C63:C72" si="12">$C$61</f>
        <v>1476860.4841436534</v>
      </c>
      <c r="D63" s="397">
        <f t="shared" si="11"/>
        <v>598681.92004036985</v>
      </c>
      <c r="E63" s="12">
        <f t="shared" si="10"/>
        <v>878178.56410328357</v>
      </c>
      <c r="F63" s="12">
        <f t="shared" si="7"/>
        <v>29055917.437915206</v>
      </c>
    </row>
    <row r="64" spans="1:6" x14ac:dyDescent="0.25">
      <c r="A64" s="394"/>
      <c r="B64" s="395">
        <v>51</v>
      </c>
      <c r="C64" s="399">
        <f t="shared" si="12"/>
        <v>1476860.4841436534</v>
      </c>
      <c r="D64" s="397">
        <f t="shared" si="11"/>
        <v>581118.34875830414</v>
      </c>
      <c r="E64" s="12">
        <f t="shared" si="10"/>
        <v>895742.13538534928</v>
      </c>
      <c r="F64" s="12">
        <f t="shared" si="7"/>
        <v>28160175.302529857</v>
      </c>
    </row>
    <row r="65" spans="1:6" x14ac:dyDescent="0.25">
      <c r="A65" s="394"/>
      <c r="B65" s="395">
        <v>52</v>
      </c>
      <c r="C65" s="399">
        <f t="shared" si="12"/>
        <v>1476860.4841436534</v>
      </c>
      <c r="D65" s="397">
        <f t="shared" si="11"/>
        <v>563203.50605059718</v>
      </c>
      <c r="E65" s="12">
        <f t="shared" si="10"/>
        <v>913656.97809305624</v>
      </c>
      <c r="F65" s="12">
        <f t="shared" si="7"/>
        <v>27246518.324436799</v>
      </c>
    </row>
    <row r="66" spans="1:6" x14ac:dyDescent="0.25">
      <c r="A66" s="394"/>
      <c r="B66" s="395">
        <v>53</v>
      </c>
      <c r="C66" s="399">
        <f t="shared" si="12"/>
        <v>1476860.4841436534</v>
      </c>
      <c r="D66" s="397">
        <f t="shared" si="11"/>
        <v>544930.36648873601</v>
      </c>
      <c r="E66" s="12">
        <f t="shared" si="10"/>
        <v>931930.11765491741</v>
      </c>
      <c r="F66" s="12">
        <f t="shared" si="7"/>
        <v>26314588.206781883</v>
      </c>
    </row>
    <row r="67" spans="1:6" x14ac:dyDescent="0.25">
      <c r="A67" s="394"/>
      <c r="B67" s="395">
        <v>54</v>
      </c>
      <c r="C67" s="399">
        <f t="shared" si="12"/>
        <v>1476860.4841436534</v>
      </c>
      <c r="D67" s="397">
        <f t="shared" si="11"/>
        <v>526291.76413563767</v>
      </c>
      <c r="E67" s="12">
        <f t="shared" si="10"/>
        <v>950568.72000801575</v>
      </c>
      <c r="F67" s="12">
        <f t="shared" si="7"/>
        <v>25364019.486773867</v>
      </c>
    </row>
    <row r="68" spans="1:6" x14ac:dyDescent="0.25">
      <c r="A68" s="394"/>
      <c r="B68" s="395">
        <v>55</v>
      </c>
      <c r="C68" s="399">
        <f t="shared" si="12"/>
        <v>1476860.4841436534</v>
      </c>
      <c r="D68" s="397">
        <f t="shared" si="11"/>
        <v>507280.38973547734</v>
      </c>
      <c r="E68" s="12">
        <f t="shared" si="10"/>
        <v>969580.09440817614</v>
      </c>
      <c r="F68" s="12">
        <f t="shared" si="7"/>
        <v>24394439.39236569</v>
      </c>
    </row>
    <row r="69" spans="1:6" x14ac:dyDescent="0.25">
      <c r="A69" s="394"/>
      <c r="B69" s="395">
        <v>56</v>
      </c>
      <c r="C69" s="399">
        <f t="shared" si="12"/>
        <v>1476860.4841436534</v>
      </c>
      <c r="D69" s="397">
        <f t="shared" si="11"/>
        <v>487888.7878473138</v>
      </c>
      <c r="E69" s="12">
        <f t="shared" si="10"/>
        <v>988971.69629633962</v>
      </c>
      <c r="F69" s="12">
        <f t="shared" si="7"/>
        <v>23405467.696069352</v>
      </c>
    </row>
    <row r="70" spans="1:6" x14ac:dyDescent="0.25">
      <c r="A70" s="394"/>
      <c r="B70" s="395">
        <v>57</v>
      </c>
      <c r="C70" s="399">
        <f t="shared" si="12"/>
        <v>1476860.4841436534</v>
      </c>
      <c r="D70" s="397">
        <f t="shared" si="11"/>
        <v>468109.35392138705</v>
      </c>
      <c r="E70" s="12">
        <f t="shared" si="10"/>
        <v>1008751.1302222663</v>
      </c>
      <c r="F70" s="12">
        <f t="shared" si="7"/>
        <v>22396716.565847088</v>
      </c>
    </row>
    <row r="71" spans="1:6" x14ac:dyDescent="0.25">
      <c r="A71" s="394"/>
      <c r="B71" s="395">
        <v>58</v>
      </c>
      <c r="C71" s="399">
        <f t="shared" si="12"/>
        <v>1476860.4841436534</v>
      </c>
      <c r="D71" s="397">
        <f t="shared" si="11"/>
        <v>447934.33131694177</v>
      </c>
      <c r="E71" s="12">
        <f t="shared" si="10"/>
        <v>1028926.1528267117</v>
      </c>
      <c r="F71" s="12">
        <f t="shared" si="7"/>
        <v>21367790.413020376</v>
      </c>
    </row>
    <row r="72" spans="1:6" x14ac:dyDescent="0.25">
      <c r="A72" s="394"/>
      <c r="B72" s="395">
        <v>59</v>
      </c>
      <c r="C72" s="399">
        <f t="shared" si="12"/>
        <v>1476860.4841436534</v>
      </c>
      <c r="D72" s="397">
        <f t="shared" si="11"/>
        <v>427355.80826040753</v>
      </c>
      <c r="E72" s="12">
        <f t="shared" si="10"/>
        <v>1049504.6758832459</v>
      </c>
      <c r="F72" s="12">
        <f t="shared" si="7"/>
        <v>20318285.737137131</v>
      </c>
    </row>
    <row r="73" spans="1:6" x14ac:dyDescent="0.25">
      <c r="A73" s="394"/>
      <c r="B73" s="395">
        <v>60</v>
      </c>
      <c r="C73" s="399">
        <f>C72*(1+I39)^A62</f>
        <v>1758964.4663828379</v>
      </c>
      <c r="D73" s="397">
        <f t="shared" si="11"/>
        <v>406365.71474274265</v>
      </c>
      <c r="E73" s="12">
        <f t="shared" si="10"/>
        <v>1352598.7516400951</v>
      </c>
      <c r="F73" s="12">
        <f t="shared" si="7"/>
        <v>18965686.985497035</v>
      </c>
    </row>
    <row r="74" spans="1:6" x14ac:dyDescent="0.25">
      <c r="A74" s="394">
        <v>4</v>
      </c>
      <c r="B74" s="395">
        <v>61</v>
      </c>
      <c r="C74" s="399">
        <f>$C$73</f>
        <v>1758964.4663828379</v>
      </c>
      <c r="D74" s="397">
        <f t="shared" si="11"/>
        <v>379313.73970994068</v>
      </c>
      <c r="E74" s="12">
        <f t="shared" si="10"/>
        <v>1379650.7266728971</v>
      </c>
      <c r="F74" s="12">
        <f t="shared" si="7"/>
        <v>17586036.25882414</v>
      </c>
    </row>
    <row r="75" spans="1:6" x14ac:dyDescent="0.25">
      <c r="A75" s="394"/>
      <c r="B75" s="395">
        <v>62</v>
      </c>
      <c r="C75" s="399">
        <f t="shared" ref="C75:C84" si="13">$C$73</f>
        <v>1758964.4663828379</v>
      </c>
      <c r="D75" s="397">
        <f t="shared" si="11"/>
        <v>351720.72517648281</v>
      </c>
      <c r="E75" s="12">
        <f t="shared" si="10"/>
        <v>1407243.7412063549</v>
      </c>
      <c r="F75" s="12">
        <f t="shared" si="7"/>
        <v>16178792.517617784</v>
      </c>
    </row>
    <row r="76" spans="1:6" x14ac:dyDescent="0.25">
      <c r="A76" s="394"/>
      <c r="B76" s="395">
        <v>63</v>
      </c>
      <c r="C76" s="399">
        <f t="shared" si="13"/>
        <v>1758964.4663828379</v>
      </c>
      <c r="D76" s="397">
        <f t="shared" si="11"/>
        <v>323575.85035235569</v>
      </c>
      <c r="E76" s="12">
        <f t="shared" si="10"/>
        <v>1435388.6160304821</v>
      </c>
      <c r="F76" s="12">
        <f t="shared" si="7"/>
        <v>14743403.901587302</v>
      </c>
    </row>
    <row r="77" spans="1:6" x14ac:dyDescent="0.25">
      <c r="A77" s="394"/>
      <c r="B77" s="395">
        <v>64</v>
      </c>
      <c r="C77" s="399">
        <f t="shared" si="13"/>
        <v>1758964.4663828379</v>
      </c>
      <c r="D77" s="397">
        <f t="shared" si="11"/>
        <v>294868.07803174603</v>
      </c>
      <c r="E77" s="12">
        <f t="shared" si="10"/>
        <v>1464096.3883510919</v>
      </c>
      <c r="F77" s="12">
        <f t="shared" si="7"/>
        <v>13279307.51323621</v>
      </c>
    </row>
    <row r="78" spans="1:6" x14ac:dyDescent="0.25">
      <c r="A78" s="394"/>
      <c r="B78" s="395">
        <v>65</v>
      </c>
      <c r="C78" s="399">
        <f t="shared" si="13"/>
        <v>1758964.4663828379</v>
      </c>
      <c r="D78" s="397">
        <f t="shared" si="11"/>
        <v>265586.15026472422</v>
      </c>
      <c r="E78" s="12">
        <f t="shared" si="10"/>
        <v>1493378.3161181137</v>
      </c>
      <c r="F78" s="12">
        <f t="shared" si="7"/>
        <v>11785929.197118096</v>
      </c>
    </row>
    <row r="79" spans="1:6" x14ac:dyDescent="0.25">
      <c r="A79" s="394"/>
      <c r="B79" s="395">
        <v>66</v>
      </c>
      <c r="C79" s="399">
        <f t="shared" si="13"/>
        <v>1758964.4663828379</v>
      </c>
      <c r="D79" s="397">
        <f t="shared" si="11"/>
        <v>235718.58394236193</v>
      </c>
      <c r="E79" s="12">
        <f t="shared" si="10"/>
        <v>1523245.882440476</v>
      </c>
      <c r="F79" s="12">
        <f t="shared" si="7"/>
        <v>10262683.31467762</v>
      </c>
    </row>
    <row r="80" spans="1:6" x14ac:dyDescent="0.25">
      <c r="A80" s="394"/>
      <c r="B80" s="395">
        <v>67</v>
      </c>
      <c r="C80" s="399">
        <f t="shared" si="13"/>
        <v>1758964.4663828379</v>
      </c>
      <c r="D80" s="397">
        <f t="shared" si="11"/>
        <v>205253.66629355241</v>
      </c>
      <c r="E80" s="12">
        <f t="shared" si="10"/>
        <v>1553710.8000892855</v>
      </c>
      <c r="F80" s="12">
        <f t="shared" si="7"/>
        <v>8708972.5145883355</v>
      </c>
    </row>
    <row r="81" spans="1:6" x14ac:dyDescent="0.25">
      <c r="A81" s="394"/>
      <c r="B81" s="395">
        <v>68</v>
      </c>
      <c r="C81" s="399">
        <f t="shared" si="13"/>
        <v>1758964.4663828379</v>
      </c>
      <c r="D81" s="397">
        <f t="shared" si="11"/>
        <v>174179.45029176673</v>
      </c>
      <c r="E81" s="12">
        <f t="shared" si="10"/>
        <v>1584785.0160910711</v>
      </c>
      <c r="F81" s="12">
        <f t="shared" si="7"/>
        <v>7124187.4984972645</v>
      </c>
    </row>
    <row r="82" spans="1:6" x14ac:dyDescent="0.25">
      <c r="A82" s="394"/>
      <c r="B82" s="395">
        <v>69</v>
      </c>
      <c r="C82" s="399">
        <f t="shared" si="13"/>
        <v>1758964.4663828379</v>
      </c>
      <c r="D82" s="397">
        <f t="shared" si="11"/>
        <v>142483.74996994529</v>
      </c>
      <c r="E82" s="12">
        <f t="shared" si="10"/>
        <v>1616480.7164128926</v>
      </c>
      <c r="F82" s="12">
        <f t="shared" si="7"/>
        <v>5507706.7820843719</v>
      </c>
    </row>
    <row r="83" spans="1:6" x14ac:dyDescent="0.25">
      <c r="A83" s="394"/>
      <c r="B83" s="395">
        <v>70</v>
      </c>
      <c r="C83" s="399">
        <f t="shared" si="13"/>
        <v>1758964.4663828379</v>
      </c>
      <c r="D83" s="397">
        <f t="shared" si="11"/>
        <v>110154.13564168743</v>
      </c>
      <c r="E83" s="12">
        <f t="shared" si="10"/>
        <v>1648810.3307411503</v>
      </c>
      <c r="F83" s="12">
        <f t="shared" si="7"/>
        <v>3858896.4513432216</v>
      </c>
    </row>
    <row r="84" spans="1:6" x14ac:dyDescent="0.25">
      <c r="A84" s="394"/>
      <c r="B84" s="395">
        <v>71</v>
      </c>
      <c r="C84" s="399">
        <f t="shared" si="13"/>
        <v>1758964.4663828379</v>
      </c>
      <c r="D84" s="397">
        <f t="shared" si="11"/>
        <v>77177.92902686444</v>
      </c>
      <c r="E84" s="12">
        <f t="shared" si="10"/>
        <v>1681786.5373559734</v>
      </c>
      <c r="F84" s="12">
        <f t="shared" si="7"/>
        <v>2177109.9139872482</v>
      </c>
    </row>
    <row r="85" spans="1:6" ht="15.75" thickBot="1" x14ac:dyDescent="0.3">
      <c r="A85" s="394"/>
      <c r="B85" s="395">
        <v>72</v>
      </c>
      <c r="C85" s="402">
        <f>C84*(1+I39)^A74</f>
        <v>2220652.1122670281</v>
      </c>
      <c r="D85" s="397">
        <f t="shared" si="11"/>
        <v>43542.198279744967</v>
      </c>
      <c r="E85" s="12">
        <f>C85-D85</f>
        <v>2177109.9139872831</v>
      </c>
      <c r="F85" s="12">
        <f t="shared" si="7"/>
        <v>-3.4924596548080444E-8</v>
      </c>
    </row>
    <row r="86" spans="1:6" x14ac:dyDescent="0.25">
      <c r="B86" s="403"/>
      <c r="C86" s="358"/>
      <c r="D86" s="12"/>
      <c r="E86" s="12"/>
      <c r="F86" s="12"/>
    </row>
  </sheetData>
  <mergeCells count="6">
    <mergeCell ref="B1:H1"/>
    <mergeCell ref="A3:P5"/>
    <mergeCell ref="A38:A49"/>
    <mergeCell ref="A50:A61"/>
    <mergeCell ref="A62:A73"/>
    <mergeCell ref="A74:A85"/>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B19" workbookViewId="0">
      <selection activeCell="G33" sqref="G33"/>
    </sheetView>
  </sheetViews>
  <sheetFormatPr baseColWidth="10" defaultRowHeight="15" x14ac:dyDescent="0.25"/>
  <cols>
    <col min="3" max="4" width="12.5703125" bestFit="1" customWidth="1"/>
    <col min="6" max="6" width="15.140625" bestFit="1" customWidth="1"/>
    <col min="7" max="7" width="14.140625" bestFit="1" customWidth="1"/>
    <col min="9" max="9" width="14.140625" bestFit="1" customWidth="1"/>
  </cols>
  <sheetData>
    <row r="1" spans="1:15" x14ac:dyDescent="0.25">
      <c r="A1" s="164" t="s">
        <v>341</v>
      </c>
      <c r="B1" s="164"/>
      <c r="C1" s="164"/>
      <c r="D1" s="164"/>
      <c r="E1" s="164"/>
      <c r="F1" s="164"/>
      <c r="G1" s="164"/>
      <c r="H1" s="164"/>
      <c r="I1" s="164"/>
      <c r="J1" s="164"/>
      <c r="K1" s="164"/>
      <c r="L1" s="164"/>
      <c r="M1" s="164"/>
      <c r="N1" s="164"/>
      <c r="O1" s="164"/>
    </row>
    <row r="2" spans="1:15" x14ac:dyDescent="0.25">
      <c r="A2" s="164"/>
      <c r="B2" s="164"/>
      <c r="C2" s="164"/>
      <c r="D2" s="164"/>
      <c r="E2" s="164"/>
      <c r="F2" s="164"/>
      <c r="G2" s="164"/>
      <c r="H2" s="164"/>
      <c r="I2" s="164"/>
      <c r="J2" s="164"/>
      <c r="K2" s="164"/>
      <c r="L2" s="164"/>
      <c r="M2" s="164"/>
      <c r="N2" s="164"/>
      <c r="O2" s="164"/>
    </row>
    <row r="4" spans="1:15" ht="15" customHeight="1" x14ac:dyDescent="0.25">
      <c r="A4" s="224" t="s">
        <v>340</v>
      </c>
      <c r="B4" s="224"/>
      <c r="C4" s="224"/>
      <c r="D4" s="224"/>
      <c r="E4" s="224"/>
      <c r="F4" s="224"/>
      <c r="G4" s="224"/>
      <c r="H4" s="224"/>
      <c r="I4" s="224"/>
      <c r="J4" s="224"/>
      <c r="K4" s="224"/>
    </row>
    <row r="5" spans="1:15" x14ac:dyDescent="0.25">
      <c r="A5" s="224"/>
      <c r="B5" s="224"/>
      <c r="C5" s="224"/>
      <c r="D5" s="224"/>
      <c r="E5" s="224"/>
      <c r="F5" s="224"/>
      <c r="G5" s="224"/>
      <c r="H5" s="224"/>
      <c r="I5" s="224"/>
      <c r="J5" s="224"/>
      <c r="K5" s="224"/>
    </row>
    <row r="7" spans="1:15" x14ac:dyDescent="0.25">
      <c r="B7" s="165" t="s">
        <v>339</v>
      </c>
      <c r="C7" s="165"/>
      <c r="D7" s="24">
        <f>200000000</f>
        <v>200000000</v>
      </c>
      <c r="F7" s="165"/>
      <c r="G7" s="165"/>
      <c r="H7" s="68"/>
    </row>
    <row r="8" spans="1:15" x14ac:dyDescent="0.25">
      <c r="B8" s="165" t="s">
        <v>213</v>
      </c>
      <c r="C8" s="165"/>
      <c r="D8" s="223">
        <v>0.1</v>
      </c>
      <c r="E8" t="s">
        <v>191</v>
      </c>
    </row>
    <row r="10" spans="1:15" x14ac:dyDescent="0.25">
      <c r="B10" t="s">
        <v>35</v>
      </c>
      <c r="C10" t="s">
        <v>338</v>
      </c>
      <c r="H10" s="342" t="s">
        <v>330</v>
      </c>
      <c r="I10" s="342" t="s">
        <v>254</v>
      </c>
    </row>
    <row r="11" spans="1:15" x14ac:dyDescent="0.25">
      <c r="B11">
        <v>2017</v>
      </c>
      <c r="C11" s="68">
        <f>D7</f>
        <v>200000000</v>
      </c>
      <c r="H11" s="342"/>
      <c r="I11" s="342"/>
    </row>
    <row r="12" spans="1:15" x14ac:dyDescent="0.25">
      <c r="B12">
        <v>2018</v>
      </c>
      <c r="C12" s="68">
        <f>C11+C11*$D$8</f>
        <v>220000000</v>
      </c>
      <c r="E12" s="191" t="s">
        <v>337</v>
      </c>
      <c r="F12" s="191"/>
      <c r="G12" s="343">
        <f>C11*20%</f>
        <v>40000000</v>
      </c>
      <c r="H12" s="304">
        <v>0.05</v>
      </c>
      <c r="I12" s="45">
        <f>PV(H12,1,,-G12)</f>
        <v>38095238.095238097</v>
      </c>
    </row>
    <row r="13" spans="1:15" x14ac:dyDescent="0.25">
      <c r="B13">
        <v>2019</v>
      </c>
      <c r="C13" s="68">
        <f>C12+C12*$D$8</f>
        <v>242000000</v>
      </c>
      <c r="E13" s="191" t="s">
        <v>336</v>
      </c>
      <c r="F13" s="191"/>
      <c r="G13" s="343">
        <f>C12*20%</f>
        <v>44000000</v>
      </c>
      <c r="H13" s="304">
        <f>H12+1%</f>
        <v>6.0000000000000005E-2</v>
      </c>
      <c r="I13" s="45">
        <f>PV(H13,1,,-G13)</f>
        <v>41509433.96226415</v>
      </c>
    </row>
    <row r="14" spans="1:15" x14ac:dyDescent="0.25">
      <c r="B14">
        <v>2020</v>
      </c>
      <c r="C14" s="68">
        <f>C13+C13*$D$8</f>
        <v>266200000</v>
      </c>
      <c r="E14" s="191" t="s">
        <v>335</v>
      </c>
      <c r="F14" s="191"/>
      <c r="G14" s="343">
        <f>C13*20%</f>
        <v>48400000</v>
      </c>
      <c r="H14" s="304">
        <f>H13+1%</f>
        <v>7.0000000000000007E-2</v>
      </c>
      <c r="I14" s="45">
        <f>PV(H14,1,,-G14)</f>
        <v>45233644.859813079</v>
      </c>
    </row>
    <row r="15" spans="1:15" x14ac:dyDescent="0.25">
      <c r="B15">
        <v>2021</v>
      </c>
      <c r="C15" s="68">
        <f>C14+C14*$D$8</f>
        <v>292820000</v>
      </c>
      <c r="E15" s="191" t="s">
        <v>334</v>
      </c>
      <c r="F15" s="191"/>
      <c r="G15" s="343">
        <f>C14*20%</f>
        <v>53240000</v>
      </c>
      <c r="H15" s="304">
        <f>H14+1%</f>
        <v>0.08</v>
      </c>
      <c r="I15" s="45">
        <f>PV(H15,1,,-G15)</f>
        <v>49296296.296296291</v>
      </c>
    </row>
    <row r="16" spans="1:15" x14ac:dyDescent="0.25">
      <c r="B16">
        <v>2022</v>
      </c>
      <c r="C16" s="68">
        <f>C15+C15*$D$8</f>
        <v>322102000</v>
      </c>
      <c r="E16" s="191" t="s">
        <v>333</v>
      </c>
      <c r="F16" s="191"/>
      <c r="G16" s="343">
        <f>C15*20%</f>
        <v>58564000</v>
      </c>
      <c r="H16" s="304">
        <f>H15+1%</f>
        <v>0.09</v>
      </c>
      <c r="I16" s="45">
        <f>PV(H16,1,,-G16)</f>
        <v>53728440.366972476</v>
      </c>
    </row>
    <row r="17" spans="1:13" x14ac:dyDescent="0.25">
      <c r="B17">
        <v>2023</v>
      </c>
      <c r="C17" s="68">
        <f>C16+C16*$D$8</f>
        <v>354312200</v>
      </c>
      <c r="E17" s="191" t="s">
        <v>332</v>
      </c>
      <c r="F17" s="191"/>
      <c r="G17" s="343">
        <f>C16*20%</f>
        <v>64420400</v>
      </c>
      <c r="H17" s="304">
        <f>H16+1%</f>
        <v>9.9999999999999992E-2</v>
      </c>
      <c r="I17" s="45">
        <f>PV(H17,1,,-G17)</f>
        <v>58563999.999999993</v>
      </c>
    </row>
    <row r="20" spans="1:13" x14ac:dyDescent="0.25">
      <c r="A20" t="s">
        <v>331</v>
      </c>
    </row>
    <row r="22" spans="1:13" x14ac:dyDescent="0.25">
      <c r="E22" s="342" t="s">
        <v>330</v>
      </c>
      <c r="F22" s="341" t="s">
        <v>329</v>
      </c>
      <c r="G22" s="340" t="s">
        <v>254</v>
      </c>
    </row>
    <row r="23" spans="1:13" ht="15" customHeight="1" x14ac:dyDescent="0.25">
      <c r="D23" s="306" t="s">
        <v>228</v>
      </c>
      <c r="E23" s="342"/>
      <c r="F23" s="341"/>
      <c r="G23" s="340"/>
    </row>
    <row r="24" spans="1:13" x14ac:dyDescent="0.25">
      <c r="B24" s="339"/>
      <c r="C24" s="338">
        <v>2018</v>
      </c>
      <c r="D24" s="44">
        <v>0</v>
      </c>
      <c r="E24" s="337">
        <v>0.05</v>
      </c>
      <c r="F24" s="217">
        <v>40000000</v>
      </c>
      <c r="G24" s="45">
        <f>F24/((1+E24))</f>
        <v>38095238.095238097</v>
      </c>
    </row>
    <row r="25" spans="1:13" ht="15" customHeight="1" x14ac:dyDescent="0.25">
      <c r="B25" s="339"/>
      <c r="C25" s="338">
        <v>2019</v>
      </c>
      <c r="D25" s="44">
        <v>1</v>
      </c>
      <c r="E25" s="337">
        <f>E24+1%</f>
        <v>6.0000000000000005E-2</v>
      </c>
      <c r="F25" s="217">
        <v>44000000</v>
      </c>
      <c r="G25" s="45">
        <f>F25/((1+E25)*(1+E24))</f>
        <v>39532794.249775372</v>
      </c>
      <c r="I25" s="180" t="s">
        <v>328</v>
      </c>
      <c r="J25" s="180"/>
      <c r="K25" s="180"/>
      <c r="L25" s="180"/>
      <c r="M25" s="27"/>
    </row>
    <row r="26" spans="1:13" x14ac:dyDescent="0.25">
      <c r="B26" s="339"/>
      <c r="C26" s="338">
        <v>2020</v>
      </c>
      <c r="D26" s="44">
        <v>2</v>
      </c>
      <c r="E26" s="337">
        <f>E25+1%</f>
        <v>7.0000000000000007E-2</v>
      </c>
      <c r="F26" s="217">
        <v>48400000</v>
      </c>
      <c r="G26" s="45">
        <f>F26/((1+E26)*(1+E25)*(1+E24))</f>
        <v>40641190.350236371</v>
      </c>
      <c r="I26" s="180"/>
      <c r="J26" s="180"/>
      <c r="K26" s="180"/>
      <c r="L26" s="180"/>
      <c r="M26" s="27"/>
    </row>
    <row r="27" spans="1:13" x14ac:dyDescent="0.25">
      <c r="B27" s="339"/>
      <c r="C27" s="338">
        <v>2021</v>
      </c>
      <c r="D27" s="44">
        <v>3</v>
      </c>
      <c r="E27" s="337">
        <f>E26+1%</f>
        <v>0.08</v>
      </c>
      <c r="F27" s="217">
        <v>53240000</v>
      </c>
      <c r="G27" s="45">
        <f>F27/((1+E27)*(1+E26)*(1+E25)*(1+E24))</f>
        <v>41393804.986351848</v>
      </c>
      <c r="I27" s="180"/>
      <c r="J27" s="180"/>
      <c r="K27" s="180"/>
      <c r="L27" s="180"/>
      <c r="M27" s="27"/>
    </row>
    <row r="28" spans="1:13" x14ac:dyDescent="0.25">
      <c r="B28" s="339"/>
      <c r="C28" s="338">
        <v>2022</v>
      </c>
      <c r="D28" s="44">
        <v>4</v>
      </c>
      <c r="E28" s="337">
        <f>E27+1%</f>
        <v>0.09</v>
      </c>
      <c r="F28" s="217">
        <v>58564000</v>
      </c>
      <c r="G28" s="45">
        <f>F28/((1+E28)*(1+E27)*(1+E26)*(1+E25)*(1+E24))</f>
        <v>41773564.665125713</v>
      </c>
      <c r="I28" s="180"/>
      <c r="J28" s="180"/>
      <c r="K28" s="180"/>
      <c r="L28" s="180"/>
      <c r="M28" s="27"/>
    </row>
    <row r="29" spans="1:13" x14ac:dyDescent="0.25">
      <c r="B29" s="339"/>
      <c r="C29" s="338">
        <v>2023</v>
      </c>
      <c r="D29" s="44">
        <v>5</v>
      </c>
      <c r="E29" s="337">
        <f>E28+1%</f>
        <v>9.9999999999999992E-2</v>
      </c>
      <c r="F29" s="217">
        <v>64420400</v>
      </c>
      <c r="G29" s="45">
        <f>F29/((1+E29)*(1+E28)*(1+E27)*(1+E26)*(1+E25)*(1+E24))</f>
        <v>41773564.665125713</v>
      </c>
    </row>
    <row r="30" spans="1:13" ht="15.75" thickBot="1" x14ac:dyDescent="0.3"/>
    <row r="31" spans="1:13" ht="15.75" customHeight="1" thickBot="1" x14ac:dyDescent="0.3">
      <c r="D31" s="336" t="s">
        <v>327</v>
      </c>
      <c r="E31" s="335"/>
      <c r="F31" s="334">
        <f>SUM(G24:G29)</f>
        <v>243210157.01185316</v>
      </c>
      <c r="I31" s="180" t="s">
        <v>326</v>
      </c>
      <c r="J31" s="180"/>
      <c r="K31" s="180"/>
      <c r="L31" s="180"/>
      <c r="M31" s="27"/>
    </row>
    <row r="32" spans="1:13" x14ac:dyDescent="0.25">
      <c r="I32" s="180"/>
      <c r="J32" s="180"/>
      <c r="K32" s="180"/>
      <c r="L32" s="180"/>
      <c r="M32" s="27"/>
    </row>
    <row r="33" spans="9:13" x14ac:dyDescent="0.25">
      <c r="I33" s="180"/>
      <c r="J33" s="180"/>
      <c r="K33" s="180"/>
      <c r="L33" s="180"/>
      <c r="M33" s="27"/>
    </row>
    <row r="34" spans="9:13" x14ac:dyDescent="0.25">
      <c r="I34" s="180"/>
      <c r="J34" s="180"/>
      <c r="K34" s="180"/>
      <c r="L34" s="180"/>
      <c r="M34" s="27"/>
    </row>
    <row r="35" spans="9:13" x14ac:dyDescent="0.25">
      <c r="I35" s="27"/>
      <c r="J35" s="27"/>
      <c r="K35" s="27"/>
      <c r="L35" s="27"/>
      <c r="M35" s="27"/>
    </row>
  </sheetData>
  <mergeCells count="18">
    <mergeCell ref="I10:I11"/>
    <mergeCell ref="G22:G23"/>
    <mergeCell ref="I25:L28"/>
    <mergeCell ref="E13:F13"/>
    <mergeCell ref="E14:F14"/>
    <mergeCell ref="E15:F15"/>
    <mergeCell ref="E16:F16"/>
    <mergeCell ref="E12:F12"/>
    <mergeCell ref="A1:O2"/>
    <mergeCell ref="A4:K5"/>
    <mergeCell ref="B7:C7"/>
    <mergeCell ref="B8:C8"/>
    <mergeCell ref="F7:G7"/>
    <mergeCell ref="I31:L34"/>
    <mergeCell ref="E22:E23"/>
    <mergeCell ref="F22:F23"/>
    <mergeCell ref="E17:F17"/>
    <mergeCell ref="H10:H1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I14" sqref="I14"/>
    </sheetView>
  </sheetViews>
  <sheetFormatPr baseColWidth="10" defaultRowHeight="15" x14ac:dyDescent="0.25"/>
  <cols>
    <col min="3" max="3" width="12.7109375" customWidth="1"/>
    <col min="5" max="5" width="13.42578125" bestFit="1" customWidth="1"/>
  </cols>
  <sheetData>
    <row r="1" spans="1:10" ht="23.25" x14ac:dyDescent="0.35">
      <c r="B1" s="177" t="s">
        <v>415</v>
      </c>
      <c r="C1" s="390"/>
      <c r="D1" s="390"/>
      <c r="E1" s="390"/>
      <c r="F1" s="390"/>
      <c r="G1" s="390"/>
      <c r="H1" s="390"/>
      <c r="I1" s="390"/>
      <c r="J1" s="390"/>
    </row>
    <row r="3" spans="1:10" x14ac:dyDescent="0.25">
      <c r="A3" s="164" t="s">
        <v>416</v>
      </c>
      <c r="B3" s="164"/>
      <c r="C3" s="164"/>
      <c r="D3" s="164"/>
      <c r="E3" s="164"/>
      <c r="F3" s="164"/>
      <c r="G3" s="164"/>
      <c r="H3" s="164"/>
      <c r="I3" s="164"/>
      <c r="J3" s="164"/>
    </row>
    <row r="4" spans="1:10" x14ac:dyDescent="0.25">
      <c r="A4" s="164"/>
      <c r="B4" s="164"/>
      <c r="C4" s="164"/>
      <c r="D4" s="164"/>
      <c r="E4" s="164"/>
      <c r="F4" s="164"/>
      <c r="G4" s="164"/>
      <c r="H4" s="164"/>
      <c r="I4" s="164"/>
      <c r="J4" s="164"/>
    </row>
    <row r="6" spans="1:10" x14ac:dyDescent="0.25">
      <c r="A6" s="202" t="s">
        <v>417</v>
      </c>
      <c r="B6" s="202"/>
      <c r="C6" s="202"/>
      <c r="D6" s="202"/>
      <c r="E6" s="202"/>
      <c r="F6" s="202"/>
      <c r="G6" s="202"/>
      <c r="H6" s="202"/>
    </row>
    <row r="7" spans="1:10" x14ac:dyDescent="0.25">
      <c r="A7" s="202" t="s">
        <v>418</v>
      </c>
      <c r="B7" s="202"/>
      <c r="C7" s="202"/>
      <c r="D7" s="202"/>
      <c r="E7" s="202"/>
      <c r="F7" s="202"/>
      <c r="G7" s="202"/>
      <c r="H7" s="202"/>
    </row>
    <row r="8" spans="1:10" x14ac:dyDescent="0.25">
      <c r="A8" s="202" t="s">
        <v>419</v>
      </c>
      <c r="B8" s="202"/>
      <c r="C8" s="202"/>
      <c r="D8" s="202"/>
      <c r="E8" s="202"/>
      <c r="F8" s="202"/>
      <c r="G8" s="202"/>
      <c r="H8" s="202"/>
    </row>
    <row r="9" spans="1:10" x14ac:dyDescent="0.25">
      <c r="A9" s="202" t="s">
        <v>420</v>
      </c>
      <c r="B9" s="202"/>
      <c r="C9" s="202"/>
      <c r="D9" s="202"/>
      <c r="E9" s="202"/>
      <c r="F9" s="202"/>
      <c r="G9" s="202"/>
      <c r="H9" s="202"/>
    </row>
    <row r="10" spans="1:10" x14ac:dyDescent="0.25">
      <c r="A10" s="202" t="s">
        <v>421</v>
      </c>
      <c r="B10" s="202"/>
      <c r="C10" s="202"/>
      <c r="D10" s="202"/>
      <c r="E10" s="202"/>
      <c r="F10" s="202"/>
      <c r="G10" s="202"/>
      <c r="H10" s="202"/>
    </row>
    <row r="11" spans="1:10" ht="15" customHeight="1" x14ac:dyDescent="0.25">
      <c r="A11" s="164" t="s">
        <v>422</v>
      </c>
      <c r="B11" s="164"/>
      <c r="C11" s="164"/>
      <c r="D11" s="164"/>
      <c r="E11" s="164"/>
      <c r="F11" s="164"/>
      <c r="G11" s="164"/>
      <c r="H11" s="164"/>
      <c r="I11" s="164"/>
    </row>
    <row r="13" spans="1:10" x14ac:dyDescent="0.25">
      <c r="B13" s="191" t="s">
        <v>423</v>
      </c>
      <c r="C13" s="191"/>
      <c r="D13" s="191" t="s">
        <v>424</v>
      </c>
      <c r="E13" s="191"/>
      <c r="F13" s="404" t="s">
        <v>425</v>
      </c>
      <c r="G13" s="66"/>
    </row>
    <row r="14" spans="1:10" x14ac:dyDescent="0.25">
      <c r="B14" s="405">
        <v>0.2</v>
      </c>
      <c r="C14" s="342" t="s">
        <v>426</v>
      </c>
      <c r="D14" s="406">
        <f>B14/2</f>
        <v>0.1</v>
      </c>
      <c r="E14" s="340" t="s">
        <v>427</v>
      </c>
      <c r="F14" s="313">
        <f>((2018-2011)*2)-1</f>
        <v>13</v>
      </c>
    </row>
    <row r="15" spans="1:10" x14ac:dyDescent="0.25">
      <c r="A15" s="407"/>
      <c r="B15" s="405"/>
      <c r="C15" s="342"/>
      <c r="D15" s="406"/>
      <c r="E15" s="340"/>
      <c r="F15" s="313"/>
    </row>
    <row r="16" spans="1:10" x14ac:dyDescent="0.25">
      <c r="B16" s="405">
        <v>0.16</v>
      </c>
      <c r="C16" s="342" t="s">
        <v>428</v>
      </c>
      <c r="D16" s="406">
        <f>B16/4</f>
        <v>0.04</v>
      </c>
      <c r="E16" s="340" t="s">
        <v>429</v>
      </c>
      <c r="F16" s="313">
        <f>((2008-2000)*4)-1</f>
        <v>31</v>
      </c>
    </row>
    <row r="17" spans="2:6" x14ac:dyDescent="0.25">
      <c r="B17" s="313"/>
      <c r="C17" s="342"/>
      <c r="D17" s="406"/>
      <c r="E17" s="340"/>
      <c r="F17" s="313"/>
    </row>
    <row r="18" spans="2:6" x14ac:dyDescent="0.25">
      <c r="B18" s="405">
        <v>0.23</v>
      </c>
      <c r="C18" s="342" t="s">
        <v>430</v>
      </c>
      <c r="D18" s="406">
        <f>B18/12</f>
        <v>1.9166666666666669E-2</v>
      </c>
      <c r="E18" s="340" t="s">
        <v>431</v>
      </c>
      <c r="F18" s="313">
        <f>((2005-1999)*12)-10</f>
        <v>62</v>
      </c>
    </row>
    <row r="19" spans="2:6" x14ac:dyDescent="0.25">
      <c r="B19" s="313"/>
      <c r="C19" s="342"/>
      <c r="D19" s="406"/>
      <c r="E19" s="340"/>
      <c r="F19" s="313"/>
    </row>
    <row r="20" spans="2:6" x14ac:dyDescent="0.25">
      <c r="B20" s="405">
        <v>0.33</v>
      </c>
      <c r="C20" s="341" t="s">
        <v>432</v>
      </c>
      <c r="D20" s="406">
        <f>B20/365</f>
        <v>9.041095890410959E-4</v>
      </c>
      <c r="E20" s="340" t="s">
        <v>433</v>
      </c>
      <c r="F20" s="313">
        <f>((2017-2015)*365)-30</f>
        <v>700</v>
      </c>
    </row>
    <row r="21" spans="2:6" x14ac:dyDescent="0.25">
      <c r="B21" s="313"/>
      <c r="C21" s="341"/>
      <c r="D21" s="406"/>
      <c r="E21" s="340"/>
      <c r="F21" s="313"/>
    </row>
    <row r="22" spans="2:6" x14ac:dyDescent="0.25">
      <c r="B22" s="405">
        <v>0.1</v>
      </c>
      <c r="C22" s="341" t="s">
        <v>434</v>
      </c>
      <c r="D22" s="406">
        <f>B22/6</f>
        <v>1.6666666666666666E-2</v>
      </c>
      <c r="E22" s="340" t="s">
        <v>435</v>
      </c>
      <c r="F22" s="313">
        <f>((2018-2010)*6)-2</f>
        <v>46</v>
      </c>
    </row>
    <row r="23" spans="2:6" x14ac:dyDescent="0.25">
      <c r="B23" s="313"/>
      <c r="C23" s="341"/>
      <c r="D23" s="406"/>
      <c r="E23" s="340"/>
      <c r="F23" s="313"/>
    </row>
    <row r="24" spans="2:6" x14ac:dyDescent="0.25">
      <c r="B24" s="408">
        <v>0.18</v>
      </c>
      <c r="C24" s="342" t="s">
        <v>436</v>
      </c>
      <c r="D24" s="406">
        <f>B24/3</f>
        <v>0.06</v>
      </c>
      <c r="E24" s="340" t="s">
        <v>437</v>
      </c>
      <c r="F24" s="313">
        <f>((2018-2014)*3)-1</f>
        <v>11</v>
      </c>
    </row>
    <row r="25" spans="2:6" x14ac:dyDescent="0.25">
      <c r="B25" s="211"/>
      <c r="C25" s="342"/>
      <c r="D25" s="406"/>
      <c r="E25" s="340"/>
      <c r="F25" s="313"/>
    </row>
  </sheetData>
  <mergeCells count="40">
    <mergeCell ref="B24:B25"/>
    <mergeCell ref="C24:C25"/>
    <mergeCell ref="D24:D25"/>
    <mergeCell ref="E24:E25"/>
    <mergeCell ref="F24:F25"/>
    <mergeCell ref="B20:B21"/>
    <mergeCell ref="C20:C21"/>
    <mergeCell ref="D20:D21"/>
    <mergeCell ref="E20:E21"/>
    <mergeCell ref="F20:F21"/>
    <mergeCell ref="B22:B23"/>
    <mergeCell ref="C22:C23"/>
    <mergeCell ref="D22:D23"/>
    <mergeCell ref="E22:E23"/>
    <mergeCell ref="F22:F23"/>
    <mergeCell ref="B16:B17"/>
    <mergeCell ref="C16:C17"/>
    <mergeCell ref="D16:D17"/>
    <mergeCell ref="E16:E17"/>
    <mergeCell ref="F16:F17"/>
    <mergeCell ref="B18:B19"/>
    <mergeCell ref="C18:C19"/>
    <mergeCell ref="D18:D19"/>
    <mergeCell ref="E18:E19"/>
    <mergeCell ref="F18:F19"/>
    <mergeCell ref="A10:H10"/>
    <mergeCell ref="A11:I11"/>
    <mergeCell ref="B13:C13"/>
    <mergeCell ref="D13:E13"/>
    <mergeCell ref="B14:B15"/>
    <mergeCell ref="C14:C15"/>
    <mergeCell ref="D14:D15"/>
    <mergeCell ref="E14:E15"/>
    <mergeCell ref="F14:F15"/>
    <mergeCell ref="B1:J1"/>
    <mergeCell ref="A3:J4"/>
    <mergeCell ref="A6:H6"/>
    <mergeCell ref="A7:H7"/>
    <mergeCell ref="A8:H8"/>
    <mergeCell ref="A9:H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workbookViewId="0">
      <selection activeCell="F91" sqref="F91"/>
    </sheetView>
  </sheetViews>
  <sheetFormatPr baseColWidth="10" defaultRowHeight="15" x14ac:dyDescent="0.25"/>
  <sheetData>
    <row r="1" spans="1:13" x14ac:dyDescent="0.25">
      <c r="A1" s="202" t="s">
        <v>353</v>
      </c>
      <c r="B1" s="202"/>
      <c r="C1" s="202"/>
      <c r="D1" s="202"/>
      <c r="E1" s="202"/>
      <c r="F1" s="202"/>
      <c r="G1" s="202"/>
      <c r="H1" s="202"/>
      <c r="I1" s="202"/>
      <c r="J1" s="35"/>
      <c r="K1" s="35"/>
      <c r="L1" s="35"/>
      <c r="M1" s="35"/>
    </row>
    <row r="3" spans="1:13" x14ac:dyDescent="0.25">
      <c r="A3" s="196" t="s">
        <v>352</v>
      </c>
      <c r="B3" s="196"/>
      <c r="C3" s="196"/>
      <c r="D3" s="196"/>
      <c r="E3" s="196"/>
      <c r="F3" s="196"/>
      <c r="G3" s="196"/>
      <c r="H3" s="196"/>
    </row>
    <row r="5" spans="1:13" x14ac:dyDescent="0.25">
      <c r="B5" s="165" t="s">
        <v>190</v>
      </c>
      <c r="C5" s="165"/>
      <c r="D5" s="223">
        <v>0.09</v>
      </c>
    </row>
    <row r="6" spans="1:13" ht="15.75" thickBot="1" x14ac:dyDescent="0.3">
      <c r="B6" s="165" t="s">
        <v>345</v>
      </c>
      <c r="C6" s="165"/>
      <c r="D6">
        <v>7000</v>
      </c>
    </row>
    <row r="7" spans="1:13" x14ac:dyDescent="0.25">
      <c r="F7" s="352" t="s">
        <v>343</v>
      </c>
      <c r="G7" s="351"/>
    </row>
    <row r="8" spans="1:13" ht="15.75" thickBot="1" x14ac:dyDescent="0.3">
      <c r="B8" s="29" t="s">
        <v>344</v>
      </c>
      <c r="C8" s="29" t="s">
        <v>206</v>
      </c>
      <c r="D8" s="29" t="s">
        <v>48</v>
      </c>
      <c r="F8" s="350">
        <f>FV(D5,B17,,-D6)</f>
        <v>13947.93849183135</v>
      </c>
      <c r="G8" s="349"/>
    </row>
    <row r="9" spans="1:13" x14ac:dyDescent="0.25">
      <c r="B9" s="346">
        <v>0</v>
      </c>
      <c r="C9" s="29"/>
      <c r="D9" s="29">
        <f>D6</f>
        <v>7000</v>
      </c>
    </row>
    <row r="10" spans="1:13" x14ac:dyDescent="0.25">
      <c r="B10" s="346">
        <v>1</v>
      </c>
      <c r="C10" s="29">
        <f>D9*$D$5</f>
        <v>630</v>
      </c>
      <c r="D10" s="29">
        <f>D9+C10</f>
        <v>7630</v>
      </c>
    </row>
    <row r="11" spans="1:13" x14ac:dyDescent="0.25">
      <c r="B11" s="346">
        <v>2</v>
      </c>
      <c r="C11" s="29">
        <f>D10*$D$5</f>
        <v>686.69999999999993</v>
      </c>
      <c r="D11" s="29">
        <f>D10+C11</f>
        <v>8316.7000000000007</v>
      </c>
    </row>
    <row r="12" spans="1:13" ht="15" customHeight="1" x14ac:dyDescent="0.25">
      <c r="B12" s="346">
        <v>3</v>
      </c>
      <c r="C12" s="29">
        <f>D11*$D$5</f>
        <v>748.50300000000004</v>
      </c>
      <c r="D12" s="29">
        <f>D11+C12</f>
        <v>9065.2030000000013</v>
      </c>
      <c r="F12" s="180" t="s">
        <v>351</v>
      </c>
      <c r="G12" s="180"/>
      <c r="H12" s="180"/>
      <c r="I12" s="180"/>
    </row>
    <row r="13" spans="1:13" x14ac:dyDescent="0.25">
      <c r="B13" s="346">
        <v>4</v>
      </c>
      <c r="C13" s="29">
        <f>D12*$D$5</f>
        <v>815.86827000000005</v>
      </c>
      <c r="D13" s="29">
        <f>D12+C13</f>
        <v>9881.0712700000022</v>
      </c>
      <c r="F13" s="180"/>
      <c r="G13" s="180"/>
      <c r="H13" s="180"/>
      <c r="I13" s="180"/>
    </row>
    <row r="14" spans="1:13" x14ac:dyDescent="0.25">
      <c r="B14" s="346">
        <v>5</v>
      </c>
      <c r="C14" s="29">
        <f>D13*$D$5</f>
        <v>889.29641430000015</v>
      </c>
      <c r="D14" s="29">
        <f>D13+C14</f>
        <v>10770.367684300003</v>
      </c>
      <c r="F14" s="27"/>
      <c r="G14" s="27"/>
      <c r="H14" s="27"/>
      <c r="I14" s="27"/>
    </row>
    <row r="15" spans="1:13" x14ac:dyDescent="0.25">
      <c r="B15" s="346">
        <v>6</v>
      </c>
      <c r="C15" s="29">
        <f>D14*$D$5</f>
        <v>969.33309158700024</v>
      </c>
      <c r="D15" s="29">
        <f>D14+C15</f>
        <v>11739.700775887004</v>
      </c>
    </row>
    <row r="16" spans="1:13" ht="15.75" thickBot="1" x14ac:dyDescent="0.3">
      <c r="B16" s="346">
        <v>7</v>
      </c>
      <c r="C16" s="29">
        <f>D15*$D$5</f>
        <v>1056.5730698298303</v>
      </c>
      <c r="D16" s="347">
        <f>D15+C16</f>
        <v>12796.273845716834</v>
      </c>
    </row>
    <row r="17" spans="1:9" ht="15.75" thickBot="1" x14ac:dyDescent="0.3">
      <c r="B17" s="346">
        <v>8</v>
      </c>
      <c r="C17" s="345">
        <f>D16*$D$5</f>
        <v>1151.6646461145151</v>
      </c>
      <c r="D17" s="344">
        <f>D16+C17</f>
        <v>13947.93849183135</v>
      </c>
    </row>
    <row r="19" spans="1:9" x14ac:dyDescent="0.25">
      <c r="A19" s="196" t="s">
        <v>350</v>
      </c>
      <c r="B19" s="196"/>
      <c r="C19" s="196"/>
      <c r="D19" s="196"/>
      <c r="E19" s="196"/>
      <c r="F19" s="196"/>
      <c r="G19" s="196"/>
    </row>
    <row r="21" spans="1:9" x14ac:dyDescent="0.25">
      <c r="B21" s="165" t="s">
        <v>190</v>
      </c>
      <c r="C21" s="165"/>
      <c r="D21" s="223">
        <v>0.04</v>
      </c>
    </row>
    <row r="22" spans="1:9" x14ac:dyDescent="0.25">
      <c r="B22" s="165" t="s">
        <v>345</v>
      </c>
      <c r="C22" s="165"/>
      <c r="D22" s="24">
        <v>1250</v>
      </c>
    </row>
    <row r="24" spans="1:9" x14ac:dyDescent="0.25">
      <c r="B24" s="29" t="s">
        <v>344</v>
      </c>
      <c r="C24" s="29" t="s">
        <v>206</v>
      </c>
      <c r="D24" s="29" t="s">
        <v>48</v>
      </c>
    </row>
    <row r="25" spans="1:9" ht="15.75" thickBot="1" x14ac:dyDescent="0.3">
      <c r="B25" s="346">
        <v>0</v>
      </c>
      <c r="C25" s="29"/>
      <c r="D25" s="29">
        <f>D22</f>
        <v>1250</v>
      </c>
    </row>
    <row r="26" spans="1:9" x14ac:dyDescent="0.25">
      <c r="B26" s="346">
        <v>1</v>
      </c>
      <c r="C26" s="29">
        <f>D25*$D$21</f>
        <v>50</v>
      </c>
      <c r="D26" s="29">
        <f>D25+C26</f>
        <v>1300</v>
      </c>
      <c r="F26" s="352" t="s">
        <v>343</v>
      </c>
      <c r="G26" s="351"/>
    </row>
    <row r="27" spans="1:9" ht="15.75" thickBot="1" x14ac:dyDescent="0.3">
      <c r="B27" s="346">
        <v>2</v>
      </c>
      <c r="C27" s="29">
        <f>D26*$D$21</f>
        <v>52</v>
      </c>
      <c r="D27" s="29">
        <f>D26+C27</f>
        <v>1352</v>
      </c>
      <c r="F27" s="350">
        <f>FV(D21,B37,,-D22)</f>
        <v>2001.2902732096022</v>
      </c>
      <c r="G27" s="349"/>
    </row>
    <row r="28" spans="1:9" x14ac:dyDescent="0.25">
      <c r="B28" s="346">
        <v>3</v>
      </c>
      <c r="C28" s="29">
        <f>D27*$D$21</f>
        <v>54.08</v>
      </c>
      <c r="D28" s="29">
        <f>D27+C28</f>
        <v>1406.08</v>
      </c>
    </row>
    <row r="29" spans="1:9" x14ac:dyDescent="0.25">
      <c r="B29" s="346">
        <v>4</v>
      </c>
      <c r="C29" s="29">
        <f>D28*$D$21</f>
        <v>56.243200000000002</v>
      </c>
      <c r="D29" s="29">
        <f>D28+C29</f>
        <v>1462.3231999999998</v>
      </c>
    </row>
    <row r="30" spans="1:9" x14ac:dyDescent="0.25">
      <c r="B30" s="346">
        <v>5</v>
      </c>
      <c r="C30" s="29">
        <f>D29*$D$21</f>
        <v>58.492927999999992</v>
      </c>
      <c r="D30" s="29">
        <f>D29+C30</f>
        <v>1520.8161279999997</v>
      </c>
    </row>
    <row r="31" spans="1:9" x14ac:dyDescent="0.25">
      <c r="B31" s="348">
        <v>6</v>
      </c>
      <c r="C31" s="29">
        <f>D30*$D$21</f>
        <v>60.832645119999988</v>
      </c>
      <c r="D31" s="29">
        <f>D30+C31</f>
        <v>1581.6487731199998</v>
      </c>
      <c r="F31" s="180" t="s">
        <v>349</v>
      </c>
      <c r="G31" s="180"/>
      <c r="H31" s="180"/>
      <c r="I31" s="180"/>
    </row>
    <row r="32" spans="1:9" x14ac:dyDescent="0.25">
      <c r="B32" s="346">
        <v>7</v>
      </c>
      <c r="C32" s="29">
        <f>D31*$D$21</f>
        <v>63.265950924799995</v>
      </c>
      <c r="D32" s="29">
        <f>D31+C32</f>
        <v>1644.9147240447996</v>
      </c>
      <c r="F32" s="180"/>
      <c r="G32" s="180"/>
      <c r="H32" s="180"/>
      <c r="I32" s="180"/>
    </row>
    <row r="33" spans="1:7" x14ac:dyDescent="0.25">
      <c r="B33" s="346">
        <v>8</v>
      </c>
      <c r="C33" s="29">
        <f>D32*$D$21</f>
        <v>65.796588961791983</v>
      </c>
      <c r="D33" s="29">
        <f>D32+C33</f>
        <v>1710.7113130065916</v>
      </c>
    </row>
    <row r="34" spans="1:7" x14ac:dyDescent="0.25">
      <c r="B34" s="346">
        <v>9</v>
      </c>
      <c r="C34" s="29">
        <f>D33*$D$21</f>
        <v>68.428452520263662</v>
      </c>
      <c r="D34" s="29">
        <f>D33+C34</f>
        <v>1779.1397655268552</v>
      </c>
    </row>
    <row r="35" spans="1:7" x14ac:dyDescent="0.25">
      <c r="B35" s="346">
        <v>10</v>
      </c>
      <c r="C35" s="29">
        <f>D34*$D$21</f>
        <v>71.165590621074202</v>
      </c>
      <c r="D35" s="29">
        <f>D34+C35</f>
        <v>1850.3053561479294</v>
      </c>
    </row>
    <row r="36" spans="1:7" ht="15.75" thickBot="1" x14ac:dyDescent="0.3">
      <c r="B36" s="346">
        <v>11</v>
      </c>
      <c r="C36" s="29">
        <f>D35*$D$21</f>
        <v>74.012214245917178</v>
      </c>
      <c r="D36" s="347">
        <f>D35+C36</f>
        <v>1924.3175703938466</v>
      </c>
    </row>
    <row r="37" spans="1:7" ht="15.75" thickBot="1" x14ac:dyDescent="0.3">
      <c r="B37" s="346">
        <v>12</v>
      </c>
      <c r="C37" s="345">
        <f>D36*$D$21</f>
        <v>76.972702815753863</v>
      </c>
      <c r="D37" s="344">
        <f>D36+C37</f>
        <v>2001.2902732096004</v>
      </c>
    </row>
    <row r="39" spans="1:7" x14ac:dyDescent="0.25">
      <c r="A39" s="196" t="s">
        <v>348</v>
      </c>
      <c r="B39" s="196"/>
      <c r="C39" s="196"/>
      <c r="D39" s="196"/>
      <c r="E39" s="196"/>
      <c r="F39" s="196"/>
      <c r="G39" s="196"/>
    </row>
    <row r="41" spans="1:7" x14ac:dyDescent="0.25">
      <c r="B41" s="165" t="s">
        <v>190</v>
      </c>
      <c r="C41" s="165"/>
      <c r="D41" s="223">
        <v>7.0000000000000007E-2</v>
      </c>
    </row>
    <row r="42" spans="1:7" x14ac:dyDescent="0.25">
      <c r="B42" s="165" t="s">
        <v>345</v>
      </c>
      <c r="C42" s="165"/>
      <c r="D42" s="24">
        <v>5000</v>
      </c>
    </row>
    <row r="44" spans="1:7" x14ac:dyDescent="0.25">
      <c r="B44" s="29" t="s">
        <v>344</v>
      </c>
      <c r="C44" s="29" t="s">
        <v>206</v>
      </c>
      <c r="D44" s="29" t="s">
        <v>48</v>
      </c>
    </row>
    <row r="45" spans="1:7" ht="15.75" thickBot="1" x14ac:dyDescent="0.3">
      <c r="B45" s="346">
        <v>0</v>
      </c>
      <c r="C45" s="29"/>
      <c r="D45" s="29">
        <f>D42</f>
        <v>5000</v>
      </c>
    </row>
    <row r="46" spans="1:7" x14ac:dyDescent="0.25">
      <c r="B46" s="346">
        <v>1</v>
      </c>
      <c r="C46" s="29">
        <f>D45*$D$41</f>
        <v>350.00000000000006</v>
      </c>
      <c r="D46" s="29">
        <f>D45+C46</f>
        <v>5350</v>
      </c>
      <c r="F46" s="352" t="s">
        <v>343</v>
      </c>
      <c r="G46" s="351"/>
    </row>
    <row r="47" spans="1:7" ht="15.75" thickBot="1" x14ac:dyDescent="0.3">
      <c r="B47" s="346">
        <v>2</v>
      </c>
      <c r="C47" s="29">
        <f>D46*$D$41</f>
        <v>374.50000000000006</v>
      </c>
      <c r="D47" s="29">
        <f>D46+C47</f>
        <v>5724.5</v>
      </c>
      <c r="F47" s="350">
        <f>FV(D41,B76,,-D42)</f>
        <v>40725.564478241875</v>
      </c>
      <c r="G47" s="349"/>
    </row>
    <row r="48" spans="1:7" x14ac:dyDescent="0.25">
      <c r="B48" s="346">
        <v>3</v>
      </c>
      <c r="C48" s="29">
        <f>D47*$D$41</f>
        <v>400.71500000000003</v>
      </c>
      <c r="D48" s="29">
        <f>D47+C48</f>
        <v>6125.2150000000001</v>
      </c>
    </row>
    <row r="49" spans="2:9" x14ac:dyDescent="0.25">
      <c r="B49" s="346">
        <v>4</v>
      </c>
      <c r="C49" s="29">
        <f>D48*$D$41</f>
        <v>428.76505000000003</v>
      </c>
      <c r="D49" s="29">
        <f>D48+C49</f>
        <v>6553.9800500000001</v>
      </c>
    </row>
    <row r="50" spans="2:9" x14ac:dyDescent="0.25">
      <c r="B50" s="346">
        <v>5</v>
      </c>
      <c r="C50" s="29">
        <f>D49*$D$41</f>
        <v>458.77860350000003</v>
      </c>
      <c r="D50" s="29">
        <f>D49+C50</f>
        <v>7012.7586535</v>
      </c>
      <c r="F50" s="180" t="s">
        <v>347</v>
      </c>
      <c r="G50" s="180"/>
      <c r="H50" s="180"/>
      <c r="I50" s="180"/>
    </row>
    <row r="51" spans="2:9" x14ac:dyDescent="0.25">
      <c r="B51" s="348">
        <v>6</v>
      </c>
      <c r="C51" s="29">
        <f>D50*$D$41</f>
        <v>490.89310574500007</v>
      </c>
      <c r="D51" s="29">
        <f>D50+C51</f>
        <v>7503.651759245</v>
      </c>
      <c r="F51" s="180"/>
      <c r="G51" s="180"/>
      <c r="H51" s="180"/>
      <c r="I51" s="180"/>
    </row>
    <row r="52" spans="2:9" x14ac:dyDescent="0.25">
      <c r="B52" s="346">
        <v>7</v>
      </c>
      <c r="C52" s="29">
        <f>D51*$D$41</f>
        <v>525.25562314715</v>
      </c>
      <c r="D52" s="29">
        <f>D51+C52</f>
        <v>8028.9073823921499</v>
      </c>
    </row>
    <row r="53" spans="2:9" x14ac:dyDescent="0.25">
      <c r="B53" s="346">
        <v>8</v>
      </c>
      <c r="C53" s="29">
        <f>D52*$D$41</f>
        <v>562.02351676745059</v>
      </c>
      <c r="D53" s="29">
        <f>D52+C53</f>
        <v>8590.9308991596008</v>
      </c>
    </row>
    <row r="54" spans="2:9" x14ac:dyDescent="0.25">
      <c r="B54" s="346">
        <v>9</v>
      </c>
      <c r="C54" s="29">
        <f>D53*$D$41</f>
        <v>601.36516294117212</v>
      </c>
      <c r="D54" s="29">
        <f>D53+C54</f>
        <v>9192.2960621007733</v>
      </c>
    </row>
    <row r="55" spans="2:9" x14ac:dyDescent="0.25">
      <c r="B55" s="346">
        <v>10</v>
      </c>
      <c r="C55" s="29">
        <f>D54*$D$41</f>
        <v>643.46072434705422</v>
      </c>
      <c r="D55" s="29">
        <f>D54+C55</f>
        <v>9835.7567864478278</v>
      </c>
    </row>
    <row r="56" spans="2:9" x14ac:dyDescent="0.25">
      <c r="B56" s="346">
        <v>11</v>
      </c>
      <c r="C56" s="29">
        <f>D55*$D$41</f>
        <v>688.50297505134802</v>
      </c>
      <c r="D56" s="29">
        <f>D55+C56</f>
        <v>10524.259761499176</v>
      </c>
    </row>
    <row r="57" spans="2:9" x14ac:dyDescent="0.25">
      <c r="B57" s="346">
        <v>12</v>
      </c>
      <c r="C57" s="29">
        <f>D56*$D$41</f>
        <v>736.6981833049424</v>
      </c>
      <c r="D57" s="29">
        <f>D56+C57</f>
        <v>11260.957944804119</v>
      </c>
    </row>
    <row r="58" spans="2:9" x14ac:dyDescent="0.25">
      <c r="B58" s="346">
        <v>13</v>
      </c>
      <c r="C58" s="29">
        <f>D57*$D$41</f>
        <v>788.26705613628837</v>
      </c>
      <c r="D58" s="29">
        <f>D57+C58</f>
        <v>12049.225000940407</v>
      </c>
    </row>
    <row r="59" spans="2:9" x14ac:dyDescent="0.25">
      <c r="B59" s="346">
        <v>14</v>
      </c>
      <c r="C59" s="29">
        <f>D58*$D$41</f>
        <v>843.44575006582852</v>
      </c>
      <c r="D59" s="29">
        <f>D58+C59</f>
        <v>12892.670751006235</v>
      </c>
    </row>
    <row r="60" spans="2:9" x14ac:dyDescent="0.25">
      <c r="B60" s="346">
        <v>15</v>
      </c>
      <c r="C60" s="29">
        <f>D59*$D$41</f>
        <v>902.48695257043653</v>
      </c>
      <c r="D60" s="29">
        <f>D59+C60</f>
        <v>13795.157703576671</v>
      </c>
    </row>
    <row r="61" spans="2:9" x14ac:dyDescent="0.25">
      <c r="B61" s="346">
        <v>16</v>
      </c>
      <c r="C61" s="29">
        <f>D60*$D$41</f>
        <v>965.66103925036714</v>
      </c>
      <c r="D61" s="29">
        <f>D60+C61</f>
        <v>14760.818742827039</v>
      </c>
    </row>
    <row r="62" spans="2:9" x14ac:dyDescent="0.25">
      <c r="B62" s="346">
        <v>17</v>
      </c>
      <c r="C62" s="29">
        <f>D61*$D$41</f>
        <v>1033.2573119978929</v>
      </c>
      <c r="D62" s="29">
        <f>D61+C62</f>
        <v>15794.076054824933</v>
      </c>
    </row>
    <row r="63" spans="2:9" x14ac:dyDescent="0.25">
      <c r="B63" s="346">
        <v>18</v>
      </c>
      <c r="C63" s="29">
        <f>D62*$D$41</f>
        <v>1105.5853238377454</v>
      </c>
      <c r="D63" s="29">
        <f>D62+C63</f>
        <v>16899.661378662677</v>
      </c>
    </row>
    <row r="64" spans="2:9" x14ac:dyDescent="0.25">
      <c r="B64" s="346">
        <v>19</v>
      </c>
      <c r="C64" s="29">
        <f>D63*$D$41</f>
        <v>1182.9762965063874</v>
      </c>
      <c r="D64" s="29">
        <f>D63+C64</f>
        <v>18082.637675169062</v>
      </c>
    </row>
    <row r="65" spans="1:7" x14ac:dyDescent="0.25">
      <c r="B65" s="346">
        <v>20</v>
      </c>
      <c r="C65" s="29">
        <f>D64*$D$41</f>
        <v>1265.7846372618344</v>
      </c>
      <c r="D65" s="29">
        <f>D64+C65</f>
        <v>19348.422312430896</v>
      </c>
    </row>
    <row r="66" spans="1:7" x14ac:dyDescent="0.25">
      <c r="B66" s="346">
        <v>21</v>
      </c>
      <c r="C66" s="29">
        <f>D65*$D$41</f>
        <v>1354.3895618701629</v>
      </c>
      <c r="D66" s="29">
        <f>D65+C66</f>
        <v>20702.81187430106</v>
      </c>
    </row>
    <row r="67" spans="1:7" x14ac:dyDescent="0.25">
      <c r="B67" s="346">
        <v>22</v>
      </c>
      <c r="C67" s="29">
        <f>D66*$D$41</f>
        <v>1449.1968312010742</v>
      </c>
      <c r="D67" s="29">
        <f>D66+C67</f>
        <v>22152.008705502136</v>
      </c>
    </row>
    <row r="68" spans="1:7" x14ac:dyDescent="0.25">
      <c r="B68" s="346">
        <v>23</v>
      </c>
      <c r="C68" s="29">
        <f>D67*$D$41</f>
        <v>1550.6406093851497</v>
      </c>
      <c r="D68" s="29">
        <f>D67+C68</f>
        <v>23702.649314887287</v>
      </c>
    </row>
    <row r="69" spans="1:7" x14ac:dyDescent="0.25">
      <c r="B69" s="346">
        <v>24</v>
      </c>
      <c r="C69" s="29">
        <f>D68*$D$41</f>
        <v>1659.1854520421102</v>
      </c>
      <c r="D69" s="29">
        <f>D68+C69</f>
        <v>25361.834766929398</v>
      </c>
    </row>
    <row r="70" spans="1:7" x14ac:dyDescent="0.25">
      <c r="B70" s="346">
        <v>25</v>
      </c>
      <c r="C70" s="29">
        <f>D69*$D$41</f>
        <v>1775.3284336850581</v>
      </c>
      <c r="D70" s="29">
        <f>D69+C70</f>
        <v>27137.163200614457</v>
      </c>
    </row>
    <row r="71" spans="1:7" x14ac:dyDescent="0.25">
      <c r="B71" s="346">
        <v>26</v>
      </c>
      <c r="C71" s="29">
        <f>D70*$D$41</f>
        <v>1899.6014240430122</v>
      </c>
      <c r="D71" s="29">
        <f>D70+C71</f>
        <v>29036.76462465747</v>
      </c>
    </row>
    <row r="72" spans="1:7" x14ac:dyDescent="0.25">
      <c r="B72" s="346">
        <v>27</v>
      </c>
      <c r="C72" s="29">
        <f>D71*$D$41</f>
        <v>2032.573523726023</v>
      </c>
      <c r="D72" s="29">
        <f>D71+C72</f>
        <v>31069.338148383493</v>
      </c>
    </row>
    <row r="73" spans="1:7" x14ac:dyDescent="0.25">
      <c r="B73" s="346">
        <v>28</v>
      </c>
      <c r="C73" s="29">
        <f>D72*$D$41</f>
        <v>2174.8536703868449</v>
      </c>
      <c r="D73" s="29">
        <f>D72+C73</f>
        <v>33244.191818770341</v>
      </c>
    </row>
    <row r="74" spans="1:7" x14ac:dyDescent="0.25">
      <c r="B74" s="346">
        <v>29</v>
      </c>
      <c r="C74" s="29">
        <f>D73*$D$41</f>
        <v>2327.0934273139242</v>
      </c>
      <c r="D74" s="29">
        <f>D73+C74</f>
        <v>35571.285246084262</v>
      </c>
    </row>
    <row r="75" spans="1:7" ht="15.75" thickBot="1" x14ac:dyDescent="0.3">
      <c r="B75" s="346">
        <v>30</v>
      </c>
      <c r="C75" s="29">
        <f>D74*$D$41</f>
        <v>2489.9899672258985</v>
      </c>
      <c r="D75" s="347">
        <f>D74+C75</f>
        <v>38061.27521331016</v>
      </c>
    </row>
    <row r="76" spans="1:7" ht="15.75" thickBot="1" x14ac:dyDescent="0.3">
      <c r="B76" s="346">
        <v>31</v>
      </c>
      <c r="C76" s="345">
        <f>D75*$D$41</f>
        <v>2664.2892649317114</v>
      </c>
      <c r="D76" s="344">
        <f>D75+C76</f>
        <v>40725.564478241875</v>
      </c>
    </row>
    <row r="78" spans="1:7" x14ac:dyDescent="0.25">
      <c r="A78" s="196" t="s">
        <v>346</v>
      </c>
      <c r="B78" s="196"/>
      <c r="C78" s="196"/>
      <c r="D78" s="196"/>
      <c r="E78" s="196"/>
      <c r="F78" s="196"/>
      <c r="G78" s="196"/>
    </row>
    <row r="80" spans="1:7" x14ac:dyDescent="0.25">
      <c r="B80" s="165" t="s">
        <v>190</v>
      </c>
      <c r="C80" s="165"/>
      <c r="D80" s="223">
        <v>0.06</v>
      </c>
    </row>
    <row r="81" spans="2:9" x14ac:dyDescent="0.25">
      <c r="B81" s="165" t="s">
        <v>345</v>
      </c>
      <c r="C81" s="165"/>
      <c r="D81" s="24">
        <v>20000</v>
      </c>
    </row>
    <row r="83" spans="2:9" x14ac:dyDescent="0.25">
      <c r="B83" s="29" t="s">
        <v>344</v>
      </c>
      <c r="C83" s="29" t="s">
        <v>206</v>
      </c>
      <c r="D83" s="29" t="s">
        <v>48</v>
      </c>
    </row>
    <row r="84" spans="2:9" ht="15.75" thickBot="1" x14ac:dyDescent="0.3">
      <c r="B84" s="346">
        <v>0</v>
      </c>
      <c r="C84" s="29"/>
      <c r="D84" s="29">
        <f>D81</f>
        <v>20000</v>
      </c>
    </row>
    <row r="85" spans="2:9" x14ac:dyDescent="0.25">
      <c r="B85" s="346">
        <v>1</v>
      </c>
      <c r="C85" s="29">
        <f>D84*$D$80</f>
        <v>1200</v>
      </c>
      <c r="D85" s="29">
        <f>D84+C85</f>
        <v>21200</v>
      </c>
      <c r="F85" s="352" t="s">
        <v>343</v>
      </c>
      <c r="G85" s="351"/>
    </row>
    <row r="86" spans="2:9" ht="15.75" thickBot="1" x14ac:dyDescent="0.3">
      <c r="B86" s="346">
        <v>2</v>
      </c>
      <c r="C86" s="29">
        <f>D85*$D$80</f>
        <v>1272</v>
      </c>
      <c r="D86" s="29">
        <f>D85+C86</f>
        <v>22472</v>
      </c>
      <c r="F86" s="350">
        <f>FV(D80,B91,,-D81)</f>
        <v>30072.605179827216</v>
      </c>
      <c r="G86" s="349"/>
    </row>
    <row r="87" spans="2:9" x14ac:dyDescent="0.25">
      <c r="B87" s="346">
        <v>3</v>
      </c>
      <c r="C87" s="29">
        <f>D86*$D$80</f>
        <v>1348.32</v>
      </c>
      <c r="D87" s="29">
        <f>D86+C87</f>
        <v>23820.32</v>
      </c>
    </row>
    <row r="88" spans="2:9" x14ac:dyDescent="0.25">
      <c r="B88" s="346">
        <v>4</v>
      </c>
      <c r="C88" s="29">
        <f>D87*$D$80</f>
        <v>1429.2192</v>
      </c>
      <c r="D88" s="29">
        <f>D87+C88</f>
        <v>25249.539199999999</v>
      </c>
    </row>
    <row r="89" spans="2:9" x14ac:dyDescent="0.25">
      <c r="B89" s="346">
        <v>5</v>
      </c>
      <c r="C89" s="29">
        <f>D88*$D$80</f>
        <v>1514.972352</v>
      </c>
      <c r="D89" s="29">
        <f>D88+C89</f>
        <v>26764.511552</v>
      </c>
      <c r="F89" s="180" t="s">
        <v>342</v>
      </c>
      <c r="G89" s="180"/>
      <c r="H89" s="180"/>
      <c r="I89" s="180"/>
    </row>
    <row r="90" spans="2:9" ht="15.75" thickBot="1" x14ac:dyDescent="0.3">
      <c r="B90" s="348">
        <v>6</v>
      </c>
      <c r="C90" s="29">
        <f>D89*$D$80</f>
        <v>1605.8706931199999</v>
      </c>
      <c r="D90" s="347">
        <f>D89+C90</f>
        <v>28370.382245119999</v>
      </c>
      <c r="F90" s="180"/>
      <c r="G90" s="180"/>
      <c r="H90" s="180"/>
      <c r="I90" s="180"/>
    </row>
    <row r="91" spans="2:9" ht="15.75" thickBot="1" x14ac:dyDescent="0.3">
      <c r="B91" s="346">
        <v>7</v>
      </c>
      <c r="C91" s="345">
        <f>D90*$D$80</f>
        <v>1702.2229347072</v>
      </c>
      <c r="D91" s="344">
        <f>D90+C91</f>
        <v>30072.605179827198</v>
      </c>
    </row>
  </sheetData>
  <mergeCells count="17">
    <mergeCell ref="F50:I51"/>
    <mergeCell ref="A19:G19"/>
    <mergeCell ref="B21:C21"/>
    <mergeCell ref="B22:C22"/>
    <mergeCell ref="A39:G39"/>
    <mergeCell ref="B41:C41"/>
    <mergeCell ref="B42:C42"/>
    <mergeCell ref="A1:I1"/>
    <mergeCell ref="A3:H3"/>
    <mergeCell ref="B5:C5"/>
    <mergeCell ref="B6:C6"/>
    <mergeCell ref="F89:I90"/>
    <mergeCell ref="A78:G78"/>
    <mergeCell ref="B80:C80"/>
    <mergeCell ref="B81:C81"/>
    <mergeCell ref="F12:I13"/>
    <mergeCell ref="F31:I3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52" workbookViewId="0">
      <selection activeCell="F9" sqref="F9"/>
    </sheetView>
  </sheetViews>
  <sheetFormatPr baseColWidth="10" defaultRowHeight="15" x14ac:dyDescent="0.25"/>
  <sheetData>
    <row r="1" spans="1:9" x14ac:dyDescent="0.25">
      <c r="A1" s="202" t="s">
        <v>355</v>
      </c>
      <c r="B1" s="202"/>
      <c r="C1" s="202"/>
      <c r="D1" s="202"/>
      <c r="E1" s="202"/>
      <c r="F1" s="202"/>
      <c r="G1" s="35"/>
      <c r="H1" s="35"/>
      <c r="I1" s="35"/>
    </row>
    <row r="3" spans="1:9" x14ac:dyDescent="0.25">
      <c r="A3" s="196" t="s">
        <v>356</v>
      </c>
      <c r="B3" s="196"/>
      <c r="C3" s="196"/>
      <c r="D3" s="196"/>
      <c r="E3" s="196"/>
      <c r="F3" s="196"/>
    </row>
    <row r="5" spans="1:9" ht="15.75" thickBot="1" x14ac:dyDescent="0.3">
      <c r="B5" s="165" t="s">
        <v>190</v>
      </c>
      <c r="C5" s="165"/>
      <c r="D5" s="223">
        <v>7.0000000000000007E-2</v>
      </c>
      <c r="G5" s="44" t="s">
        <v>267</v>
      </c>
      <c r="H5" s="44" t="s">
        <v>194</v>
      </c>
      <c r="I5" s="356" t="s">
        <v>48</v>
      </c>
    </row>
    <row r="6" spans="1:9" ht="15.75" thickBot="1" x14ac:dyDescent="0.3">
      <c r="B6" s="165" t="s">
        <v>205</v>
      </c>
      <c r="C6" s="165"/>
      <c r="D6" s="24">
        <v>4500</v>
      </c>
      <c r="G6" s="44">
        <v>0</v>
      </c>
      <c r="H6" s="311"/>
      <c r="I6" s="357">
        <v>2998.5400071743061</v>
      </c>
    </row>
    <row r="7" spans="1:9" x14ac:dyDescent="0.25">
      <c r="B7" s="165" t="s">
        <v>31</v>
      </c>
      <c r="C7" s="165"/>
      <c r="D7" s="24">
        <v>6</v>
      </c>
      <c r="E7" t="s">
        <v>266</v>
      </c>
      <c r="G7" s="44">
        <v>1</v>
      </c>
      <c r="H7" s="12">
        <f>I6*$D$5</f>
        <v>209.89780050220145</v>
      </c>
      <c r="I7" s="358">
        <f>I6+H7</f>
        <v>3208.4378076765074</v>
      </c>
    </row>
    <row r="8" spans="1:9" ht="15.75" thickBot="1" x14ac:dyDescent="0.3">
      <c r="G8" s="44">
        <v>2</v>
      </c>
      <c r="H8" s="12">
        <f t="shared" ref="H8:H12" si="0">I7*$D$5</f>
        <v>224.59064653735555</v>
      </c>
      <c r="I8" s="12">
        <f t="shared" ref="I8:I12" si="1">I7+H8</f>
        <v>3433.0284542138629</v>
      </c>
    </row>
    <row r="9" spans="1:9" ht="15.75" thickBot="1" x14ac:dyDescent="0.3">
      <c r="B9" s="238" t="s">
        <v>357</v>
      </c>
      <c r="C9" s="239"/>
      <c r="D9" s="253">
        <f>PV(D5,D7,,-D6)</f>
        <v>2998.5400071743065</v>
      </c>
      <c r="G9" s="44">
        <v>3</v>
      </c>
      <c r="H9" s="12">
        <f t="shared" si="0"/>
        <v>240.31199179497042</v>
      </c>
      <c r="I9" s="12">
        <f t="shared" si="1"/>
        <v>3673.3404460088332</v>
      </c>
    </row>
    <row r="10" spans="1:9" x14ac:dyDescent="0.25">
      <c r="B10" s="77"/>
      <c r="C10" s="77"/>
      <c r="D10" s="128"/>
      <c r="G10" s="44">
        <v>4</v>
      </c>
      <c r="H10" s="12">
        <f t="shared" si="0"/>
        <v>257.13383122061833</v>
      </c>
      <c r="I10" s="12">
        <f t="shared" si="1"/>
        <v>3930.4742772294517</v>
      </c>
    </row>
    <row r="11" spans="1:9" x14ac:dyDescent="0.25">
      <c r="B11" s="77"/>
      <c r="C11" s="77"/>
      <c r="D11" s="128"/>
      <c r="G11" s="44">
        <v>5</v>
      </c>
      <c r="H11" s="12">
        <f t="shared" si="0"/>
        <v>275.13319940606164</v>
      </c>
      <c r="I11" s="12">
        <f t="shared" si="1"/>
        <v>4205.6074766355132</v>
      </c>
    </row>
    <row r="12" spans="1:9" x14ac:dyDescent="0.25">
      <c r="B12" s="77"/>
      <c r="C12" s="77"/>
      <c r="D12" s="128"/>
      <c r="G12" s="44">
        <v>6</v>
      </c>
      <c r="H12" s="12">
        <f t="shared" si="0"/>
        <v>294.39252336448595</v>
      </c>
      <c r="I12" s="12">
        <f t="shared" si="1"/>
        <v>4499.9999999999991</v>
      </c>
    </row>
    <row r="13" spans="1:9" x14ac:dyDescent="0.25">
      <c r="B13" s="77"/>
      <c r="C13" s="77"/>
      <c r="D13" s="128"/>
    </row>
    <row r="15" spans="1:9" x14ac:dyDescent="0.25">
      <c r="A15" s="196" t="s">
        <v>358</v>
      </c>
      <c r="B15" s="196"/>
      <c r="C15" s="196"/>
      <c r="D15" s="196"/>
      <c r="E15" s="196"/>
      <c r="F15" s="196"/>
    </row>
    <row r="16" spans="1:9" ht="15.75" thickBot="1" x14ac:dyDescent="0.3">
      <c r="G16" s="44" t="s">
        <v>267</v>
      </c>
      <c r="H16" s="44" t="s">
        <v>194</v>
      </c>
      <c r="I16" s="356" t="s">
        <v>48</v>
      </c>
    </row>
    <row r="17" spans="2:9" ht="15.75" thickBot="1" x14ac:dyDescent="0.3">
      <c r="B17" s="165" t="s">
        <v>190</v>
      </c>
      <c r="C17" s="165"/>
      <c r="D17" s="223">
        <v>0.08</v>
      </c>
      <c r="G17" s="44">
        <v>0</v>
      </c>
      <c r="H17" s="311"/>
      <c r="I17" s="357">
        <v>1891.4502297953416</v>
      </c>
    </row>
    <row r="18" spans="2:9" x14ac:dyDescent="0.25">
      <c r="B18" s="165" t="s">
        <v>205</v>
      </c>
      <c r="C18" s="165"/>
      <c r="D18" s="24">
        <v>6000</v>
      </c>
      <c r="G18" s="44">
        <v>1</v>
      </c>
      <c r="H18" s="12">
        <f>I17*$D$17</f>
        <v>151.31601838362732</v>
      </c>
      <c r="I18" s="358">
        <f>I17+H18</f>
        <v>2042.7662481789689</v>
      </c>
    </row>
    <row r="19" spans="2:9" x14ac:dyDescent="0.25">
      <c r="B19" s="165" t="s">
        <v>31</v>
      </c>
      <c r="C19" s="165"/>
      <c r="D19" s="24">
        <v>15</v>
      </c>
      <c r="E19" t="s">
        <v>266</v>
      </c>
      <c r="G19" s="44">
        <v>2</v>
      </c>
      <c r="H19" s="12">
        <f t="shared" ref="H19:H32" si="2">I18*$D$17</f>
        <v>163.42129985431751</v>
      </c>
      <c r="I19" s="358">
        <f t="shared" ref="I19:I32" si="3">I18+H19</f>
        <v>2206.1875480332865</v>
      </c>
    </row>
    <row r="20" spans="2:9" ht="15.75" thickBot="1" x14ac:dyDescent="0.3">
      <c r="G20" s="44">
        <v>3</v>
      </c>
      <c r="H20" s="12">
        <f t="shared" si="2"/>
        <v>176.49500384266292</v>
      </c>
      <c r="I20" s="358">
        <f t="shared" si="3"/>
        <v>2382.6825518759492</v>
      </c>
    </row>
    <row r="21" spans="2:9" ht="15.75" thickBot="1" x14ac:dyDescent="0.3">
      <c r="B21" s="238" t="s">
        <v>357</v>
      </c>
      <c r="C21" s="239"/>
      <c r="D21" s="253">
        <f>PV(D17,D19,,-D18)</f>
        <v>1891.4502297953397</v>
      </c>
      <c r="G21" s="44">
        <v>4</v>
      </c>
      <c r="H21" s="12">
        <f t="shared" si="2"/>
        <v>190.61460415007593</v>
      </c>
      <c r="I21" s="358">
        <f t="shared" si="3"/>
        <v>2573.2971560260253</v>
      </c>
    </row>
    <row r="22" spans="2:9" x14ac:dyDescent="0.25">
      <c r="B22" s="77"/>
      <c r="C22" s="77"/>
      <c r="D22" s="128"/>
      <c r="G22" s="44">
        <v>5</v>
      </c>
      <c r="H22" s="12">
        <f t="shared" si="2"/>
        <v>205.86377248208203</v>
      </c>
      <c r="I22" s="358">
        <f t="shared" si="3"/>
        <v>2779.1609285081072</v>
      </c>
    </row>
    <row r="23" spans="2:9" x14ac:dyDescent="0.25">
      <c r="B23" s="77"/>
      <c r="C23" s="77"/>
      <c r="D23" s="128"/>
      <c r="G23" s="44">
        <v>6</v>
      </c>
      <c r="H23" s="12">
        <f t="shared" si="2"/>
        <v>222.33287428064858</v>
      </c>
      <c r="I23" s="358">
        <f t="shared" si="3"/>
        <v>3001.4938027887556</v>
      </c>
    </row>
    <row r="24" spans="2:9" x14ac:dyDescent="0.25">
      <c r="B24" s="77"/>
      <c r="C24" s="77"/>
      <c r="D24" s="128"/>
      <c r="G24" s="44">
        <v>7</v>
      </c>
      <c r="H24" s="12">
        <f t="shared" si="2"/>
        <v>240.11950422310045</v>
      </c>
      <c r="I24" s="358">
        <f t="shared" si="3"/>
        <v>3241.6133070118563</v>
      </c>
    </row>
    <row r="25" spans="2:9" x14ac:dyDescent="0.25">
      <c r="B25" s="77"/>
      <c r="C25" s="77"/>
      <c r="D25" s="128"/>
      <c r="G25" s="44">
        <v>8</v>
      </c>
      <c r="H25" s="12">
        <f t="shared" si="2"/>
        <v>259.3290645609485</v>
      </c>
      <c r="I25" s="358">
        <f t="shared" si="3"/>
        <v>3500.9423715728049</v>
      </c>
    </row>
    <row r="26" spans="2:9" x14ac:dyDescent="0.25">
      <c r="B26" s="77"/>
      <c r="C26" s="77"/>
      <c r="D26" s="128"/>
      <c r="G26" s="44">
        <v>9</v>
      </c>
      <c r="H26" s="12">
        <f t="shared" si="2"/>
        <v>280.07538972582438</v>
      </c>
      <c r="I26" s="358">
        <f t="shared" si="3"/>
        <v>3781.017761298629</v>
      </c>
    </row>
    <row r="27" spans="2:9" x14ac:dyDescent="0.25">
      <c r="B27" s="77"/>
      <c r="C27" s="77"/>
      <c r="D27" s="128"/>
      <c r="G27" s="44">
        <v>10</v>
      </c>
      <c r="H27" s="12">
        <f>I26*$D$17</f>
        <v>302.48142090389035</v>
      </c>
      <c r="I27" s="358">
        <f t="shared" si="3"/>
        <v>4083.4991822025195</v>
      </c>
    </row>
    <row r="28" spans="2:9" x14ac:dyDescent="0.25">
      <c r="B28" s="77"/>
      <c r="C28" s="77"/>
      <c r="D28" s="128"/>
      <c r="G28" s="44">
        <v>11</v>
      </c>
      <c r="H28" s="12">
        <f t="shared" si="2"/>
        <v>326.67993457620156</v>
      </c>
      <c r="I28" s="358">
        <f t="shared" si="3"/>
        <v>4410.1791167787214</v>
      </c>
    </row>
    <row r="29" spans="2:9" x14ac:dyDescent="0.25">
      <c r="B29" s="77"/>
      <c r="C29" s="77"/>
      <c r="D29" s="128"/>
      <c r="G29" s="44">
        <v>12</v>
      </c>
      <c r="H29" s="12">
        <f t="shared" si="2"/>
        <v>352.8143293422977</v>
      </c>
      <c r="I29" s="358">
        <f t="shared" si="3"/>
        <v>4762.9934461210196</v>
      </c>
    </row>
    <row r="30" spans="2:9" x14ac:dyDescent="0.25">
      <c r="B30" s="77"/>
      <c r="C30" s="77"/>
      <c r="D30" s="128"/>
      <c r="G30" s="44">
        <v>13</v>
      </c>
      <c r="H30" s="12">
        <f t="shared" si="2"/>
        <v>381.03947568968158</v>
      </c>
      <c r="I30" s="358">
        <f t="shared" si="3"/>
        <v>5144.0329218107008</v>
      </c>
    </row>
    <row r="31" spans="2:9" x14ac:dyDescent="0.25">
      <c r="B31" s="77"/>
      <c r="C31" s="77"/>
      <c r="D31" s="128"/>
      <c r="G31" s="44">
        <v>14</v>
      </c>
      <c r="H31" s="12">
        <f t="shared" si="2"/>
        <v>411.52263374485608</v>
      </c>
      <c r="I31" s="358">
        <f t="shared" si="3"/>
        <v>5555.5555555555566</v>
      </c>
    </row>
    <row r="32" spans="2:9" x14ac:dyDescent="0.25">
      <c r="B32" s="77"/>
      <c r="C32" s="77"/>
      <c r="D32" s="128"/>
      <c r="G32" s="44">
        <v>15</v>
      </c>
      <c r="H32" s="12">
        <f t="shared" si="2"/>
        <v>444.44444444444451</v>
      </c>
      <c r="I32" s="358">
        <f t="shared" si="3"/>
        <v>6000.0000000000009</v>
      </c>
    </row>
    <row r="33" spans="1:9" x14ac:dyDescent="0.25">
      <c r="B33" s="77"/>
      <c r="C33" s="77"/>
      <c r="D33" s="128"/>
      <c r="G33" s="273"/>
      <c r="H33" s="273"/>
      <c r="I33" s="273"/>
    </row>
    <row r="34" spans="1:9" x14ac:dyDescent="0.25">
      <c r="G34" s="273"/>
      <c r="H34" s="273"/>
      <c r="I34" s="273"/>
    </row>
    <row r="35" spans="1:9" x14ac:dyDescent="0.25">
      <c r="A35" s="196" t="s">
        <v>359</v>
      </c>
      <c r="B35" s="196"/>
      <c r="C35" s="196"/>
      <c r="D35" s="196"/>
      <c r="E35" s="196"/>
      <c r="F35" s="196"/>
      <c r="G35" s="273"/>
      <c r="H35" s="273"/>
      <c r="I35" s="273"/>
    </row>
    <row r="37" spans="1:9" ht="15.75" thickBot="1" x14ac:dyDescent="0.3">
      <c r="B37" s="165" t="s">
        <v>190</v>
      </c>
      <c r="C37" s="165"/>
      <c r="D37" s="223">
        <v>0.09</v>
      </c>
      <c r="G37" s="44" t="s">
        <v>267</v>
      </c>
      <c r="H37" s="44" t="s">
        <v>194</v>
      </c>
      <c r="I37" s="356" t="s">
        <v>48</v>
      </c>
    </row>
    <row r="38" spans="1:9" ht="15.75" thickBot="1" x14ac:dyDescent="0.3">
      <c r="B38" s="165" t="s">
        <v>205</v>
      </c>
      <c r="C38" s="165"/>
      <c r="D38" s="24">
        <v>20000</v>
      </c>
      <c r="G38" s="44">
        <v>0</v>
      </c>
      <c r="H38" s="311"/>
      <c r="I38" s="357">
        <v>12998.627725966908</v>
      </c>
    </row>
    <row r="39" spans="1:9" x14ac:dyDescent="0.25">
      <c r="B39" s="165" t="s">
        <v>31</v>
      </c>
      <c r="C39" s="165"/>
      <c r="D39" s="24">
        <v>5</v>
      </c>
      <c r="E39" t="s">
        <v>300</v>
      </c>
      <c r="G39" s="44">
        <v>1</v>
      </c>
      <c r="H39" s="12">
        <f>I38*$D$37</f>
        <v>1169.8764953370217</v>
      </c>
      <c r="I39" s="358">
        <f>I38+H39</f>
        <v>14168.504221303929</v>
      </c>
    </row>
    <row r="40" spans="1:9" ht="15.75" thickBot="1" x14ac:dyDescent="0.3">
      <c r="G40" s="44">
        <v>2</v>
      </c>
      <c r="H40" s="12">
        <f t="shared" ref="H40:H43" si="4">I39*$D$37</f>
        <v>1275.1653799173534</v>
      </c>
      <c r="I40" s="358">
        <f t="shared" ref="I40:I43" si="5">I39+H40</f>
        <v>15443.669601221281</v>
      </c>
    </row>
    <row r="41" spans="1:9" ht="15.75" thickBot="1" x14ac:dyDescent="0.3">
      <c r="B41" s="238" t="s">
        <v>357</v>
      </c>
      <c r="C41" s="239"/>
      <c r="D41" s="253">
        <f>PV(D37,D39,,-D38)</f>
        <v>12998.627725966906</v>
      </c>
      <c r="G41" s="44">
        <v>3</v>
      </c>
      <c r="H41" s="12">
        <f t="shared" si="4"/>
        <v>1389.9302641099152</v>
      </c>
      <c r="I41" s="358">
        <f t="shared" si="5"/>
        <v>16833.599865331198</v>
      </c>
    </row>
    <row r="42" spans="1:9" x14ac:dyDescent="0.25">
      <c r="B42" s="77"/>
      <c r="C42" s="77"/>
      <c r="D42" s="128"/>
      <c r="G42" s="44">
        <v>4</v>
      </c>
      <c r="H42" s="12">
        <f>I41*$D$37</f>
        <v>1515.0239878798077</v>
      </c>
      <c r="I42" s="358">
        <f t="shared" si="5"/>
        <v>18348.623853211007</v>
      </c>
    </row>
    <row r="43" spans="1:9" x14ac:dyDescent="0.25">
      <c r="B43" s="77"/>
      <c r="C43" s="77"/>
      <c r="D43" s="128"/>
      <c r="G43" s="44">
        <v>5</v>
      </c>
      <c r="H43" s="12">
        <f t="shared" si="4"/>
        <v>1651.3761467889906</v>
      </c>
      <c r="I43" s="358">
        <f t="shared" si="5"/>
        <v>19999.999999999996</v>
      </c>
    </row>
    <row r="44" spans="1:9" x14ac:dyDescent="0.25">
      <c r="B44" s="77"/>
      <c r="C44" s="77"/>
      <c r="D44" s="128"/>
    </row>
    <row r="45" spans="1:9" x14ac:dyDescent="0.25">
      <c r="B45" s="77"/>
      <c r="C45" s="77"/>
      <c r="D45" s="128"/>
    </row>
    <row r="46" spans="1:9" x14ac:dyDescent="0.25">
      <c r="B46" s="77"/>
      <c r="C46" s="77"/>
      <c r="D46" s="128"/>
    </row>
    <row r="47" spans="1:9" x14ac:dyDescent="0.25">
      <c r="B47" s="77"/>
      <c r="C47" s="77"/>
      <c r="D47" s="128"/>
    </row>
    <row r="48" spans="1:9" x14ac:dyDescent="0.25">
      <c r="B48" s="77"/>
      <c r="C48" s="77"/>
      <c r="D48" s="128"/>
    </row>
    <row r="49" spans="1:9" x14ac:dyDescent="0.25">
      <c r="B49" s="77"/>
      <c r="C49" s="77"/>
      <c r="D49" s="128"/>
    </row>
    <row r="51" spans="1:9" x14ac:dyDescent="0.25">
      <c r="A51" s="196" t="s">
        <v>360</v>
      </c>
      <c r="B51" s="196"/>
      <c r="C51" s="196"/>
      <c r="D51" s="196"/>
      <c r="E51" s="196"/>
      <c r="F51" s="196"/>
    </row>
    <row r="53" spans="1:9" ht="15.75" thickBot="1" x14ac:dyDescent="0.3">
      <c r="B53" s="165" t="s">
        <v>190</v>
      </c>
      <c r="C53" s="165"/>
      <c r="D53" s="223">
        <v>0.1</v>
      </c>
      <c r="G53" s="44" t="s">
        <v>267</v>
      </c>
      <c r="H53" s="44" t="s">
        <v>194</v>
      </c>
      <c r="I53" s="356" t="s">
        <v>48</v>
      </c>
    </row>
    <row r="54" spans="1:9" ht="15.75" thickBot="1" x14ac:dyDescent="0.3">
      <c r="B54" s="165" t="s">
        <v>205</v>
      </c>
      <c r="C54" s="165"/>
      <c r="D54" s="24">
        <v>12000</v>
      </c>
      <c r="G54" s="44">
        <v>0</v>
      </c>
      <c r="H54" s="311"/>
      <c r="I54" s="357">
        <v>5598.0885625168021</v>
      </c>
    </row>
    <row r="55" spans="1:9" x14ac:dyDescent="0.25">
      <c r="B55" s="165" t="s">
        <v>31</v>
      </c>
      <c r="C55" s="165"/>
      <c r="D55" s="24">
        <v>8</v>
      </c>
      <c r="E55" t="s">
        <v>300</v>
      </c>
      <c r="G55" s="44">
        <v>1</v>
      </c>
      <c r="H55" s="12">
        <f>I54*$D$53</f>
        <v>559.80885625168025</v>
      </c>
      <c r="I55" s="358">
        <f>I54+H55</f>
        <v>6157.8974187684826</v>
      </c>
    </row>
    <row r="56" spans="1:9" ht="15.75" thickBot="1" x14ac:dyDescent="0.3">
      <c r="G56" s="44">
        <v>2</v>
      </c>
      <c r="H56" s="12">
        <f t="shared" ref="H56:H62" si="6">I55*$D$53</f>
        <v>615.78974187684832</v>
      </c>
      <c r="I56" s="358">
        <f t="shared" ref="I56:I62" si="7">I55+H56</f>
        <v>6773.6871606453306</v>
      </c>
    </row>
    <row r="57" spans="1:9" ht="15.75" thickBot="1" x14ac:dyDescent="0.3">
      <c r="B57" s="238" t="s">
        <v>357</v>
      </c>
      <c r="C57" s="239"/>
      <c r="D57" s="253">
        <f>PV(D53,D55,,-D54)</f>
        <v>5598.0885625167984</v>
      </c>
      <c r="G57" s="44">
        <v>3</v>
      </c>
      <c r="H57" s="12">
        <f t="shared" si="6"/>
        <v>677.36871606453315</v>
      </c>
      <c r="I57" s="358">
        <f t="shared" si="7"/>
        <v>7451.0558767098637</v>
      </c>
    </row>
    <row r="58" spans="1:9" x14ac:dyDescent="0.25">
      <c r="G58" s="44">
        <v>4</v>
      </c>
      <c r="H58" s="12">
        <f t="shared" si="6"/>
        <v>745.10558767098644</v>
      </c>
      <c r="I58" s="358">
        <f t="shared" si="7"/>
        <v>8196.1614643808498</v>
      </c>
    </row>
    <row r="59" spans="1:9" x14ac:dyDescent="0.25">
      <c r="G59" s="44">
        <v>5</v>
      </c>
      <c r="H59" s="12">
        <f t="shared" si="6"/>
        <v>819.61614643808502</v>
      </c>
      <c r="I59" s="358">
        <f t="shared" si="7"/>
        <v>9015.7776108189355</v>
      </c>
    </row>
    <row r="60" spans="1:9" x14ac:dyDescent="0.25">
      <c r="G60" s="44">
        <v>6</v>
      </c>
      <c r="H60" s="12">
        <f t="shared" si="6"/>
        <v>901.57776108189364</v>
      </c>
      <c r="I60" s="358">
        <f t="shared" si="7"/>
        <v>9917.3553719008287</v>
      </c>
    </row>
    <row r="61" spans="1:9" x14ac:dyDescent="0.25">
      <c r="G61" s="44">
        <v>7</v>
      </c>
      <c r="H61" s="12">
        <f t="shared" si="6"/>
        <v>991.73553719008294</v>
      </c>
      <c r="I61" s="358">
        <f t="shared" si="7"/>
        <v>10909.090909090912</v>
      </c>
    </row>
    <row r="62" spans="1:9" x14ac:dyDescent="0.25">
      <c r="G62" s="44">
        <v>8</v>
      </c>
      <c r="H62" s="12">
        <f t="shared" si="6"/>
        <v>1090.9090909090912</v>
      </c>
      <c r="I62" s="358">
        <f t="shared" si="7"/>
        <v>12000.000000000004</v>
      </c>
    </row>
  </sheetData>
  <mergeCells count="21">
    <mergeCell ref="B54:C54"/>
    <mergeCell ref="B55:C55"/>
    <mergeCell ref="B57:C57"/>
    <mergeCell ref="B37:C37"/>
    <mergeCell ref="B38:C38"/>
    <mergeCell ref="B39:C39"/>
    <mergeCell ref="B41:C41"/>
    <mergeCell ref="A51:F51"/>
    <mergeCell ref="B53:C53"/>
    <mergeCell ref="A15:F15"/>
    <mergeCell ref="B17:C17"/>
    <mergeCell ref="B18:C18"/>
    <mergeCell ref="B19:C19"/>
    <mergeCell ref="B21:C21"/>
    <mergeCell ref="A35:F35"/>
    <mergeCell ref="A1:F1"/>
    <mergeCell ref="A3:F3"/>
    <mergeCell ref="B5:C5"/>
    <mergeCell ref="B6:C6"/>
    <mergeCell ref="B7:C7"/>
    <mergeCell ref="B9:C9"/>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7" workbookViewId="0">
      <selection activeCell="K80" sqref="K80"/>
    </sheetView>
  </sheetViews>
  <sheetFormatPr baseColWidth="10" defaultRowHeight="15" x14ac:dyDescent="0.25"/>
  <cols>
    <col min="4" max="4" width="14.140625" bestFit="1" customWidth="1"/>
    <col min="6" max="6" width="15.140625" bestFit="1" customWidth="1"/>
    <col min="7" max="7" width="14.140625" bestFit="1" customWidth="1"/>
    <col min="10" max="10" width="15.140625" bestFit="1" customWidth="1"/>
    <col min="11" max="11" width="14.140625" bestFit="1" customWidth="1"/>
  </cols>
  <sheetData>
    <row r="1" spans="1:12" x14ac:dyDescent="0.25">
      <c r="A1" s="164" t="s">
        <v>361</v>
      </c>
      <c r="B1" s="164"/>
      <c r="C1" s="164"/>
      <c r="D1" s="164"/>
      <c r="E1" s="164"/>
      <c r="F1" s="164"/>
      <c r="G1" s="164"/>
      <c r="H1" s="164"/>
      <c r="I1" s="164"/>
      <c r="J1" s="164"/>
      <c r="K1" s="164"/>
      <c r="L1" s="164"/>
    </row>
    <row r="2" spans="1:12" x14ac:dyDescent="0.25">
      <c r="A2" s="164"/>
      <c r="B2" s="164"/>
      <c r="C2" s="164"/>
      <c r="D2" s="164"/>
      <c r="E2" s="164"/>
      <c r="F2" s="164"/>
      <c r="G2" s="164"/>
      <c r="H2" s="164"/>
      <c r="I2" s="164"/>
      <c r="J2" s="164"/>
      <c r="K2" s="164"/>
      <c r="L2" s="164"/>
    </row>
    <row r="4" spans="1:12" ht="15" customHeight="1" x14ac:dyDescent="0.25">
      <c r="A4" s="202" t="s">
        <v>362</v>
      </c>
      <c r="B4" s="202"/>
      <c r="C4" s="202"/>
      <c r="D4" s="202"/>
      <c r="E4" s="202"/>
      <c r="F4" s="202"/>
      <c r="G4" s="202"/>
      <c r="H4" s="202"/>
      <c r="I4" s="202"/>
      <c r="J4" s="202"/>
      <c r="K4" s="202"/>
    </row>
    <row r="5" spans="1:12" x14ac:dyDescent="0.25">
      <c r="A5" s="67"/>
      <c r="B5" s="67"/>
      <c r="C5" s="67"/>
      <c r="D5" s="67"/>
      <c r="E5" s="67"/>
      <c r="F5" s="67"/>
      <c r="G5" s="67"/>
      <c r="H5" s="67"/>
      <c r="I5" s="67"/>
      <c r="J5" s="67"/>
    </row>
    <row r="6" spans="1:12" x14ac:dyDescent="0.25">
      <c r="B6" s="165" t="s">
        <v>363</v>
      </c>
      <c r="C6" s="165"/>
      <c r="D6" s="24">
        <v>60000000</v>
      </c>
    </row>
    <row r="7" spans="1:12" x14ac:dyDescent="0.25">
      <c r="B7" s="165" t="s">
        <v>364</v>
      </c>
      <c r="C7" s="165"/>
      <c r="D7" s="68">
        <f>D6*5%</f>
        <v>3000000</v>
      </c>
    </row>
    <row r="8" spans="1:12" ht="15.75" thickBot="1" x14ac:dyDescent="0.3">
      <c r="B8" s="165" t="s">
        <v>365</v>
      </c>
      <c r="C8" s="165"/>
      <c r="D8" s="24">
        <v>700000</v>
      </c>
    </row>
    <row r="9" spans="1:12" ht="15.75" thickBot="1" x14ac:dyDescent="0.3">
      <c r="B9" s="238" t="s">
        <v>366</v>
      </c>
      <c r="C9" s="239"/>
      <c r="D9" s="309">
        <f>D6-D7-D8</f>
        <v>56300000</v>
      </c>
    </row>
    <row r="11" spans="1:12" x14ac:dyDescent="0.25">
      <c r="A11" s="224" t="s">
        <v>367</v>
      </c>
      <c r="B11" s="224"/>
      <c r="C11" s="224"/>
      <c r="D11" s="224"/>
      <c r="E11" s="224"/>
      <c r="F11" s="224"/>
      <c r="G11" s="224"/>
      <c r="H11" s="224"/>
      <c r="I11" s="224"/>
      <c r="J11" s="224"/>
      <c r="K11" s="224"/>
    </row>
    <row r="12" spans="1:12" x14ac:dyDescent="0.25">
      <c r="A12" s="224"/>
      <c r="B12" s="224"/>
      <c r="C12" s="224"/>
      <c r="D12" s="224"/>
      <c r="E12" s="224"/>
      <c r="F12" s="224"/>
      <c r="G12" s="224"/>
      <c r="H12" s="224"/>
      <c r="I12" s="224"/>
      <c r="J12" s="224"/>
      <c r="K12" s="224"/>
    </row>
    <row r="13" spans="1:12" x14ac:dyDescent="0.25">
      <c r="A13" s="228"/>
      <c r="B13" s="228"/>
      <c r="C13" s="228"/>
      <c r="D13" s="228"/>
      <c r="E13" s="228"/>
      <c r="F13" s="228"/>
      <c r="G13" s="228"/>
      <c r="H13" s="228"/>
      <c r="I13" s="228"/>
      <c r="J13" s="228"/>
      <c r="K13" s="228"/>
    </row>
    <row r="14" spans="1:12" x14ac:dyDescent="0.25">
      <c r="B14" s="165" t="s">
        <v>363</v>
      </c>
      <c r="C14" s="165"/>
      <c r="D14" s="24">
        <v>60000000</v>
      </c>
    </row>
    <row r="15" spans="1:12" x14ac:dyDescent="0.25">
      <c r="B15" s="165" t="s">
        <v>368</v>
      </c>
      <c r="C15" s="165"/>
      <c r="D15" s="165"/>
      <c r="E15" s="223">
        <v>0.13</v>
      </c>
    </row>
    <row r="16" spans="1:12" x14ac:dyDescent="0.25">
      <c r="B16" s="165" t="s">
        <v>369</v>
      </c>
      <c r="C16" s="165"/>
      <c r="D16" s="165"/>
      <c r="E16" s="225">
        <f>E15/12</f>
        <v>1.0833333333333334E-2</v>
      </c>
    </row>
    <row r="17" spans="2:10" x14ac:dyDescent="0.25">
      <c r="B17" s="77"/>
      <c r="C17" s="77" t="s">
        <v>370</v>
      </c>
      <c r="D17" s="359">
        <v>1517866.8033705971</v>
      </c>
      <c r="E17" s="225"/>
    </row>
    <row r="19" spans="2:10" x14ac:dyDescent="0.25">
      <c r="B19" s="80" t="s">
        <v>264</v>
      </c>
      <c r="C19" s="44" t="s">
        <v>193</v>
      </c>
      <c r="D19" s="44" t="s">
        <v>194</v>
      </c>
      <c r="E19" s="44" t="s">
        <v>111</v>
      </c>
      <c r="F19" s="44" t="s">
        <v>112</v>
      </c>
    </row>
    <row r="20" spans="2:10" x14ac:dyDescent="0.25">
      <c r="B20" s="80">
        <v>0</v>
      </c>
      <c r="C20" s="12">
        <v>9000000</v>
      </c>
      <c r="D20" s="44"/>
      <c r="E20" s="44">
        <f>C20-D20</f>
        <v>9000000</v>
      </c>
      <c r="F20" s="217">
        <f>D14-E20</f>
        <v>51000000</v>
      </c>
    </row>
    <row r="21" spans="2:10" x14ac:dyDescent="0.25">
      <c r="B21" s="80">
        <v>1</v>
      </c>
      <c r="C21" s="12">
        <f>$D$17</f>
        <v>1517866.8033705971</v>
      </c>
      <c r="D21" s="12">
        <f>F20*$E$16</f>
        <v>552500</v>
      </c>
      <c r="E21" s="12">
        <f>C21-D21</f>
        <v>965366.80337059707</v>
      </c>
      <c r="F21" s="12">
        <f>F20-E21</f>
        <v>50034633.196629405</v>
      </c>
    </row>
    <row r="22" spans="2:10" x14ac:dyDescent="0.25">
      <c r="B22" s="80">
        <v>2</v>
      </c>
      <c r="C22" s="12">
        <f t="shared" ref="C22:C62" si="0">$D$17</f>
        <v>1517866.8033705971</v>
      </c>
      <c r="D22" s="12">
        <f t="shared" ref="D22:D62" si="1">F21*$E$16</f>
        <v>542041.85963015188</v>
      </c>
      <c r="E22" s="12">
        <f t="shared" ref="E22:E62" si="2">C22-D22</f>
        <v>975824.94374044519</v>
      </c>
      <c r="F22" s="12">
        <f t="shared" ref="F22:F62" si="3">F21-E22</f>
        <v>49058808.252888963</v>
      </c>
      <c r="H22" s="165" t="s">
        <v>371</v>
      </c>
      <c r="I22" s="165"/>
      <c r="J22" s="68">
        <f>SUM(D21:D62)</f>
        <v>12750405.741565071</v>
      </c>
    </row>
    <row r="23" spans="2:10" x14ac:dyDescent="0.25">
      <c r="B23" s="80">
        <v>3</v>
      </c>
      <c r="C23" s="12">
        <f t="shared" si="0"/>
        <v>1517866.8033705971</v>
      </c>
      <c r="D23" s="12">
        <f t="shared" si="1"/>
        <v>531470.42273963045</v>
      </c>
      <c r="E23" s="12">
        <f t="shared" si="2"/>
        <v>986396.38063096663</v>
      </c>
      <c r="F23" s="12">
        <f t="shared" si="3"/>
        <v>48072411.872257993</v>
      </c>
      <c r="H23" s="165" t="s">
        <v>357</v>
      </c>
      <c r="I23" s="165"/>
      <c r="J23" s="128">
        <f>PV(E16,B62,,-J22)</f>
        <v>8109287.5903733224</v>
      </c>
    </row>
    <row r="24" spans="2:10" ht="15.75" thickBot="1" x14ac:dyDescent="0.3">
      <c r="B24" s="80">
        <v>4</v>
      </c>
      <c r="C24" s="12">
        <f t="shared" si="0"/>
        <v>1517866.8033705971</v>
      </c>
      <c r="D24" s="12">
        <f t="shared" si="1"/>
        <v>520784.46194946161</v>
      </c>
      <c r="E24" s="12">
        <f t="shared" si="2"/>
        <v>997082.34142113547</v>
      </c>
      <c r="F24" s="12">
        <f t="shared" si="3"/>
        <v>47075329.530836858</v>
      </c>
    </row>
    <row r="25" spans="2:10" ht="15.75" thickBot="1" x14ac:dyDescent="0.3">
      <c r="B25" s="80">
        <v>5</v>
      </c>
      <c r="C25" s="12">
        <f t="shared" si="0"/>
        <v>1517866.8033705971</v>
      </c>
      <c r="D25" s="12">
        <f t="shared" si="1"/>
        <v>509982.73658406601</v>
      </c>
      <c r="E25" s="12">
        <f t="shared" si="2"/>
        <v>1007884.0667865311</v>
      </c>
      <c r="F25" s="12">
        <f t="shared" si="3"/>
        <v>46067445.46405033</v>
      </c>
      <c r="H25" s="238" t="s">
        <v>366</v>
      </c>
      <c r="I25" s="239"/>
      <c r="J25" s="253">
        <f>J23+D14</f>
        <v>68109287.590373322</v>
      </c>
    </row>
    <row r="26" spans="2:10" x14ac:dyDescent="0.25">
      <c r="B26" s="80">
        <v>6</v>
      </c>
      <c r="C26" s="12">
        <f t="shared" si="0"/>
        <v>1517866.8033705971</v>
      </c>
      <c r="D26" s="12">
        <f t="shared" si="1"/>
        <v>499063.9925272119</v>
      </c>
      <c r="E26" s="12">
        <f t="shared" si="2"/>
        <v>1018802.8108433852</v>
      </c>
      <c r="F26" s="12">
        <f t="shared" si="3"/>
        <v>45048642.653206944</v>
      </c>
    </row>
    <row r="27" spans="2:10" x14ac:dyDescent="0.25">
      <c r="B27" s="80">
        <v>7</v>
      </c>
      <c r="C27" s="12">
        <f t="shared" si="0"/>
        <v>1517866.8033705971</v>
      </c>
      <c r="D27" s="12">
        <f t="shared" si="1"/>
        <v>488026.96207640856</v>
      </c>
      <c r="E27" s="12">
        <f t="shared" si="2"/>
        <v>1029839.8412941885</v>
      </c>
      <c r="F27" s="12">
        <f t="shared" si="3"/>
        <v>44018802.811912753</v>
      </c>
    </row>
    <row r="28" spans="2:10" x14ac:dyDescent="0.25">
      <c r="B28" s="80">
        <v>8</v>
      </c>
      <c r="C28" s="12">
        <f t="shared" si="0"/>
        <v>1517866.8033705971</v>
      </c>
      <c r="D28" s="12">
        <f t="shared" si="1"/>
        <v>476870.3637957215</v>
      </c>
      <c r="E28" s="12">
        <f t="shared" si="2"/>
        <v>1040996.4395748756</v>
      </c>
      <c r="F28" s="12">
        <f t="shared" si="3"/>
        <v>42977806.372337878</v>
      </c>
    </row>
    <row r="29" spans="2:10" x14ac:dyDescent="0.25">
      <c r="B29" s="80">
        <v>9</v>
      </c>
      <c r="C29" s="12">
        <f t="shared" si="0"/>
        <v>1517866.8033705971</v>
      </c>
      <c r="D29" s="12">
        <f t="shared" si="1"/>
        <v>465592.90236699372</v>
      </c>
      <c r="E29" s="12">
        <f t="shared" si="2"/>
        <v>1052273.9010036034</v>
      </c>
      <c r="F29" s="12">
        <f t="shared" si="3"/>
        <v>41925532.471334271</v>
      </c>
    </row>
    <row r="30" spans="2:10" x14ac:dyDescent="0.25">
      <c r="B30" s="80">
        <v>10</v>
      </c>
      <c r="C30" s="12">
        <f t="shared" si="0"/>
        <v>1517866.8033705971</v>
      </c>
      <c r="D30" s="12">
        <f t="shared" si="1"/>
        <v>454193.26843945461</v>
      </c>
      <c r="E30" s="12">
        <f t="shared" si="2"/>
        <v>1063673.5349311423</v>
      </c>
      <c r="F30" s="12">
        <f t="shared" si="3"/>
        <v>40861858.936403126</v>
      </c>
    </row>
    <row r="31" spans="2:10" x14ac:dyDescent="0.25">
      <c r="B31" s="80">
        <v>11</v>
      </c>
      <c r="C31" s="12">
        <f t="shared" si="0"/>
        <v>1517866.8033705971</v>
      </c>
      <c r="D31" s="12">
        <f t="shared" si="1"/>
        <v>442670.13847770053</v>
      </c>
      <c r="E31" s="12">
        <f t="shared" si="2"/>
        <v>1075196.6648928965</v>
      </c>
      <c r="F31" s="12">
        <f t="shared" si="3"/>
        <v>39786662.271510229</v>
      </c>
    </row>
    <row r="32" spans="2:10" x14ac:dyDescent="0.25">
      <c r="B32" s="80">
        <v>12</v>
      </c>
      <c r="C32" s="12">
        <f t="shared" si="0"/>
        <v>1517866.8033705971</v>
      </c>
      <c r="D32" s="12">
        <f t="shared" si="1"/>
        <v>431022.1746080275</v>
      </c>
      <c r="E32" s="12">
        <f t="shared" si="2"/>
        <v>1086844.6287625695</v>
      </c>
      <c r="F32" s="12">
        <f t="shared" si="3"/>
        <v>38699817.642747656</v>
      </c>
    </row>
    <row r="33" spans="2:6" x14ac:dyDescent="0.25">
      <c r="B33" s="80">
        <v>13</v>
      </c>
      <c r="C33" s="12">
        <f t="shared" si="0"/>
        <v>1517866.8033705971</v>
      </c>
      <c r="D33" s="12">
        <f t="shared" si="1"/>
        <v>419248.0244630996</v>
      </c>
      <c r="E33" s="12">
        <f t="shared" si="2"/>
        <v>1098618.7789074974</v>
      </c>
      <c r="F33" s="12">
        <f t="shared" si="3"/>
        <v>37601198.863840155</v>
      </c>
    </row>
    <row r="34" spans="2:6" x14ac:dyDescent="0.25">
      <c r="B34" s="80">
        <v>14</v>
      </c>
      <c r="C34" s="12">
        <f t="shared" si="0"/>
        <v>1517866.8033705971</v>
      </c>
      <c r="D34" s="12">
        <f t="shared" si="1"/>
        <v>407346.32102493505</v>
      </c>
      <c r="E34" s="12">
        <f t="shared" si="2"/>
        <v>1110520.4823456621</v>
      </c>
      <c r="F34" s="12">
        <f t="shared" si="3"/>
        <v>36490678.381494492</v>
      </c>
    </row>
    <row r="35" spans="2:6" x14ac:dyDescent="0.25">
      <c r="B35" s="80">
        <v>15</v>
      </c>
      <c r="C35" s="12">
        <f t="shared" si="0"/>
        <v>1517866.8033705971</v>
      </c>
      <c r="D35" s="12">
        <f t="shared" si="1"/>
        <v>395315.68246619037</v>
      </c>
      <c r="E35" s="12">
        <f t="shared" si="2"/>
        <v>1122551.1209044068</v>
      </c>
      <c r="F35" s="12">
        <f t="shared" si="3"/>
        <v>35368127.260590084</v>
      </c>
    </row>
    <row r="36" spans="2:6" x14ac:dyDescent="0.25">
      <c r="B36" s="80">
        <v>16</v>
      </c>
      <c r="C36" s="12">
        <f t="shared" si="0"/>
        <v>1517866.8033705971</v>
      </c>
      <c r="D36" s="12">
        <f t="shared" si="1"/>
        <v>383154.71198972594</v>
      </c>
      <c r="E36" s="12">
        <f t="shared" si="2"/>
        <v>1134712.0913808711</v>
      </c>
      <c r="F36" s="12">
        <f t="shared" si="3"/>
        <v>34233415.169209212</v>
      </c>
    </row>
    <row r="37" spans="2:6" x14ac:dyDescent="0.25">
      <c r="B37" s="80">
        <v>17</v>
      </c>
      <c r="C37" s="12">
        <f t="shared" si="0"/>
        <v>1517866.8033705971</v>
      </c>
      <c r="D37" s="12">
        <f t="shared" si="1"/>
        <v>370861.99766643316</v>
      </c>
      <c r="E37" s="12">
        <f t="shared" si="2"/>
        <v>1147004.8057041639</v>
      </c>
      <c r="F37" s="12">
        <f t="shared" si="3"/>
        <v>33086410.363505047</v>
      </c>
    </row>
    <row r="38" spans="2:6" x14ac:dyDescent="0.25">
      <c r="B38" s="80">
        <v>18</v>
      </c>
      <c r="C38" s="12">
        <f t="shared" si="0"/>
        <v>1517866.8033705971</v>
      </c>
      <c r="D38" s="12">
        <f t="shared" si="1"/>
        <v>358436.11227130471</v>
      </c>
      <c r="E38" s="12">
        <f t="shared" si="2"/>
        <v>1159430.6910992924</v>
      </c>
      <c r="F38" s="12">
        <f t="shared" si="3"/>
        <v>31926979.672405753</v>
      </c>
    </row>
    <row r="39" spans="2:6" x14ac:dyDescent="0.25">
      <c r="B39" s="80">
        <v>19</v>
      </c>
      <c r="C39" s="12">
        <f t="shared" si="0"/>
        <v>1517866.8033705971</v>
      </c>
      <c r="D39" s="12">
        <f t="shared" si="1"/>
        <v>345875.61311772902</v>
      </c>
      <c r="E39" s="12">
        <f t="shared" si="2"/>
        <v>1171991.190252868</v>
      </c>
      <c r="F39" s="12">
        <f t="shared" si="3"/>
        <v>30754988.482152887</v>
      </c>
    </row>
    <row r="40" spans="2:6" x14ac:dyDescent="0.25">
      <c r="B40" s="80">
        <v>20</v>
      </c>
      <c r="C40" s="12">
        <f t="shared" si="0"/>
        <v>1517866.8033705971</v>
      </c>
      <c r="D40" s="12">
        <f t="shared" si="1"/>
        <v>333179.04188998963</v>
      </c>
      <c r="E40" s="12">
        <f t="shared" si="2"/>
        <v>1184687.7614806076</v>
      </c>
      <c r="F40" s="12">
        <f t="shared" si="3"/>
        <v>29570300.72067228</v>
      </c>
    </row>
    <row r="41" spans="2:6" x14ac:dyDescent="0.25">
      <c r="B41" s="80">
        <v>21</v>
      </c>
      <c r="C41" s="12">
        <f t="shared" si="0"/>
        <v>1517866.8033705971</v>
      </c>
      <c r="D41" s="12">
        <f t="shared" si="1"/>
        <v>320344.92447394971</v>
      </c>
      <c r="E41" s="12">
        <f t="shared" si="2"/>
        <v>1197521.8788966474</v>
      </c>
      <c r="F41" s="12">
        <f t="shared" si="3"/>
        <v>28372778.841775633</v>
      </c>
    </row>
    <row r="42" spans="2:6" x14ac:dyDescent="0.25">
      <c r="B42" s="80">
        <v>22</v>
      </c>
      <c r="C42" s="12">
        <f t="shared" si="0"/>
        <v>1517866.8033705971</v>
      </c>
      <c r="D42" s="12">
        <f t="shared" si="1"/>
        <v>307371.77078590269</v>
      </c>
      <c r="E42" s="12">
        <f t="shared" si="2"/>
        <v>1210495.0325846944</v>
      </c>
      <c r="F42" s="12">
        <f t="shared" si="3"/>
        <v>27162283.80919094</v>
      </c>
    </row>
    <row r="43" spans="2:6" x14ac:dyDescent="0.25">
      <c r="B43" s="80">
        <v>23</v>
      </c>
      <c r="C43" s="12">
        <f t="shared" si="0"/>
        <v>1517866.8033705971</v>
      </c>
      <c r="D43" s="12">
        <f t="shared" si="1"/>
        <v>294258.0745995685</v>
      </c>
      <c r="E43" s="12">
        <f t="shared" si="2"/>
        <v>1223608.7287710286</v>
      </c>
      <c r="F43" s="12">
        <f t="shared" si="3"/>
        <v>25938675.080419913</v>
      </c>
    </row>
    <row r="44" spans="2:6" x14ac:dyDescent="0.25">
      <c r="B44" s="80">
        <v>24</v>
      </c>
      <c r="C44" s="12">
        <f t="shared" si="0"/>
        <v>1517866.8033705971</v>
      </c>
      <c r="D44" s="12">
        <f t="shared" si="1"/>
        <v>281002.31337121571</v>
      </c>
      <c r="E44" s="12">
        <f t="shared" si="2"/>
        <v>1236864.4899993814</v>
      </c>
      <c r="F44" s="12">
        <f t="shared" si="3"/>
        <v>24701810.590420533</v>
      </c>
    </row>
    <row r="45" spans="2:6" x14ac:dyDescent="0.25">
      <c r="B45" s="80">
        <v>25</v>
      </c>
      <c r="C45" s="12">
        <f t="shared" si="0"/>
        <v>1517866.8033705971</v>
      </c>
      <c r="D45" s="12">
        <f t="shared" si="1"/>
        <v>267602.9480628891</v>
      </c>
      <c r="E45" s="12">
        <f t="shared" si="2"/>
        <v>1250263.855307708</v>
      </c>
      <c r="F45" s="12">
        <f t="shared" si="3"/>
        <v>23451546.735112824</v>
      </c>
    </row>
    <row r="46" spans="2:6" x14ac:dyDescent="0.25">
      <c r="B46" s="80">
        <v>26</v>
      </c>
      <c r="C46" s="12">
        <f t="shared" si="0"/>
        <v>1517866.8033705971</v>
      </c>
      <c r="D46" s="12">
        <f t="shared" si="1"/>
        <v>254058.42296372226</v>
      </c>
      <c r="E46" s="12">
        <f t="shared" si="2"/>
        <v>1263808.3804068747</v>
      </c>
      <c r="F46" s="12">
        <f t="shared" si="3"/>
        <v>22187738.354705948</v>
      </c>
    </row>
    <row r="47" spans="2:6" x14ac:dyDescent="0.25">
      <c r="B47" s="80">
        <v>27</v>
      </c>
      <c r="C47" s="12">
        <f t="shared" si="0"/>
        <v>1517866.8033705971</v>
      </c>
      <c r="D47" s="12">
        <f t="shared" si="1"/>
        <v>240367.16550931445</v>
      </c>
      <c r="E47" s="12">
        <f t="shared" si="2"/>
        <v>1277499.6378612826</v>
      </c>
      <c r="F47" s="12">
        <f t="shared" si="3"/>
        <v>20910238.716844667</v>
      </c>
    </row>
    <row r="48" spans="2:6" x14ac:dyDescent="0.25">
      <c r="B48" s="80">
        <v>28</v>
      </c>
      <c r="C48" s="12">
        <f t="shared" si="0"/>
        <v>1517866.8033705971</v>
      </c>
      <c r="D48" s="12">
        <f t="shared" si="1"/>
        <v>226527.58609915056</v>
      </c>
      <c r="E48" s="12">
        <f t="shared" si="2"/>
        <v>1291339.2172714465</v>
      </c>
      <c r="F48" s="12">
        <f t="shared" si="3"/>
        <v>19618899.49957322</v>
      </c>
    </row>
    <row r="49" spans="2:6" x14ac:dyDescent="0.25">
      <c r="B49" s="80">
        <v>29</v>
      </c>
      <c r="C49" s="12">
        <f t="shared" si="0"/>
        <v>1517866.8033705971</v>
      </c>
      <c r="D49" s="12">
        <f t="shared" si="1"/>
        <v>212538.07791204323</v>
      </c>
      <c r="E49" s="12">
        <f t="shared" si="2"/>
        <v>1305328.7254585538</v>
      </c>
      <c r="F49" s="12">
        <f t="shared" si="3"/>
        <v>18313570.774114665</v>
      </c>
    </row>
    <row r="50" spans="2:6" x14ac:dyDescent="0.25">
      <c r="B50" s="80">
        <v>30</v>
      </c>
      <c r="C50" s="12">
        <f t="shared" si="0"/>
        <v>1517866.8033705971</v>
      </c>
      <c r="D50" s="12">
        <f t="shared" si="1"/>
        <v>198397.01671957553</v>
      </c>
      <c r="E50" s="12">
        <f t="shared" si="2"/>
        <v>1319469.7866510216</v>
      </c>
      <c r="F50" s="12">
        <f t="shared" si="3"/>
        <v>16994100.987463642</v>
      </c>
    </row>
    <row r="51" spans="2:6" x14ac:dyDescent="0.25">
      <c r="B51" s="80">
        <v>31</v>
      </c>
      <c r="C51" s="12">
        <f t="shared" si="0"/>
        <v>1517866.8033705971</v>
      </c>
      <c r="D51" s="12">
        <f t="shared" si="1"/>
        <v>184102.76069752278</v>
      </c>
      <c r="E51" s="12">
        <f t="shared" si="2"/>
        <v>1333764.0426730742</v>
      </c>
      <c r="F51" s="12">
        <f t="shared" si="3"/>
        <v>15660336.944790568</v>
      </c>
    </row>
    <row r="52" spans="2:6" x14ac:dyDescent="0.25">
      <c r="B52" s="80">
        <v>32</v>
      </c>
      <c r="C52" s="12">
        <f t="shared" si="0"/>
        <v>1517866.8033705971</v>
      </c>
      <c r="D52" s="12">
        <f t="shared" si="1"/>
        <v>169653.65023523115</v>
      </c>
      <c r="E52" s="12">
        <f t="shared" si="2"/>
        <v>1348213.1531353658</v>
      </c>
      <c r="F52" s="12">
        <f t="shared" si="3"/>
        <v>14312123.791655201</v>
      </c>
    </row>
    <row r="53" spans="2:6" x14ac:dyDescent="0.25">
      <c r="B53" s="80">
        <v>33</v>
      </c>
      <c r="C53" s="12">
        <f t="shared" si="0"/>
        <v>1517866.8033705971</v>
      </c>
      <c r="D53" s="12">
        <f t="shared" si="1"/>
        <v>155048.00774293137</v>
      </c>
      <c r="E53" s="12">
        <f t="shared" si="2"/>
        <v>1362818.7956276657</v>
      </c>
      <c r="F53" s="12">
        <f t="shared" si="3"/>
        <v>12949304.996027537</v>
      </c>
    </row>
    <row r="54" spans="2:6" x14ac:dyDescent="0.25">
      <c r="B54" s="80">
        <v>34</v>
      </c>
      <c r="C54" s="12">
        <f t="shared" si="0"/>
        <v>1517866.8033705971</v>
      </c>
      <c r="D54" s="12">
        <f t="shared" si="1"/>
        <v>140284.13745696499</v>
      </c>
      <c r="E54" s="12">
        <f t="shared" si="2"/>
        <v>1377582.6659136321</v>
      </c>
      <c r="F54" s="12">
        <f t="shared" si="3"/>
        <v>11571722.330113905</v>
      </c>
    </row>
    <row r="55" spans="2:6" x14ac:dyDescent="0.25">
      <c r="B55" s="80">
        <v>35</v>
      </c>
      <c r="C55" s="12">
        <f t="shared" si="0"/>
        <v>1517866.8033705971</v>
      </c>
      <c r="D55" s="12">
        <f t="shared" si="1"/>
        <v>125360.32524290064</v>
      </c>
      <c r="E55" s="12">
        <f t="shared" si="2"/>
        <v>1392506.4781276966</v>
      </c>
      <c r="F55" s="12">
        <f t="shared" si="3"/>
        <v>10179215.851986207</v>
      </c>
    </row>
    <row r="56" spans="2:6" x14ac:dyDescent="0.25">
      <c r="B56" s="80">
        <v>36</v>
      </c>
      <c r="C56" s="12">
        <f t="shared" si="0"/>
        <v>1517866.8033705971</v>
      </c>
      <c r="D56" s="12">
        <f t="shared" si="1"/>
        <v>110274.83839651724</v>
      </c>
      <c r="E56" s="12">
        <f t="shared" si="2"/>
        <v>1407591.9649740797</v>
      </c>
      <c r="F56" s="12">
        <f t="shared" si="3"/>
        <v>8771623.8870121278</v>
      </c>
    </row>
    <row r="57" spans="2:6" x14ac:dyDescent="0.25">
      <c r="B57" s="80">
        <v>37</v>
      </c>
      <c r="C57" s="12">
        <f t="shared" si="0"/>
        <v>1517866.8033705971</v>
      </c>
      <c r="D57" s="12">
        <f t="shared" si="1"/>
        <v>95025.925442631386</v>
      </c>
      <c r="E57" s="12">
        <f t="shared" si="2"/>
        <v>1422840.8779279657</v>
      </c>
      <c r="F57" s="12">
        <f t="shared" si="3"/>
        <v>7348783.0090841623</v>
      </c>
    </row>
    <row r="58" spans="2:6" x14ac:dyDescent="0.25">
      <c r="B58" s="80">
        <v>38</v>
      </c>
      <c r="C58" s="12">
        <f t="shared" si="0"/>
        <v>1517866.8033705971</v>
      </c>
      <c r="D58" s="12">
        <f t="shared" si="1"/>
        <v>79611.815931745092</v>
      </c>
      <c r="E58" s="12">
        <f t="shared" si="2"/>
        <v>1438254.987438852</v>
      </c>
      <c r="F58" s="12">
        <f t="shared" si="3"/>
        <v>5910528.0216453103</v>
      </c>
    </row>
    <row r="59" spans="2:6" x14ac:dyDescent="0.25">
      <c r="B59" s="80">
        <v>39</v>
      </c>
      <c r="C59" s="12">
        <f t="shared" si="0"/>
        <v>1517866.8033705971</v>
      </c>
      <c r="D59" s="12">
        <f t="shared" si="1"/>
        <v>64030.720234490866</v>
      </c>
      <c r="E59" s="12">
        <f t="shared" si="2"/>
        <v>1453836.0831361061</v>
      </c>
      <c r="F59" s="12">
        <f t="shared" si="3"/>
        <v>4456691.9385092044</v>
      </c>
    </row>
    <row r="60" spans="2:6" x14ac:dyDescent="0.25">
      <c r="B60" s="80">
        <v>40</v>
      </c>
      <c r="C60" s="12">
        <f t="shared" si="0"/>
        <v>1517866.8033705971</v>
      </c>
      <c r="D60" s="12">
        <f t="shared" si="1"/>
        <v>48280.829333849717</v>
      </c>
      <c r="E60" s="12">
        <f t="shared" si="2"/>
        <v>1469585.9740367474</v>
      </c>
      <c r="F60" s="12">
        <f t="shared" si="3"/>
        <v>2987105.9644724568</v>
      </c>
    </row>
    <row r="61" spans="2:6" x14ac:dyDescent="0.25">
      <c r="B61" s="80">
        <v>41</v>
      </c>
      <c r="C61" s="12">
        <f t="shared" si="0"/>
        <v>1517866.8033705971</v>
      </c>
      <c r="D61" s="12">
        <f t="shared" si="1"/>
        <v>32360.314615118285</v>
      </c>
      <c r="E61" s="12">
        <f t="shared" si="2"/>
        <v>1485506.4887554788</v>
      </c>
      <c r="F61" s="12">
        <f t="shared" si="3"/>
        <v>1501599.4757169781</v>
      </c>
    </row>
    <row r="62" spans="2:6" x14ac:dyDescent="0.25">
      <c r="B62" s="80">
        <v>42</v>
      </c>
      <c r="C62" s="12">
        <f t="shared" si="0"/>
        <v>1517866.8033705971</v>
      </c>
      <c r="D62" s="12">
        <f t="shared" si="1"/>
        <v>16267.327653600596</v>
      </c>
      <c r="E62" s="12">
        <f t="shared" si="2"/>
        <v>1501599.4757169965</v>
      </c>
      <c r="F62" s="12">
        <f t="shared" si="3"/>
        <v>-1.8393620848655701E-8</v>
      </c>
    </row>
    <row r="63" spans="2:6" x14ac:dyDescent="0.25">
      <c r="B63" s="144"/>
      <c r="C63" s="237"/>
      <c r="D63" s="237"/>
      <c r="E63" s="237"/>
      <c r="F63" s="237"/>
    </row>
    <row r="65" spans="1:12" x14ac:dyDescent="0.25">
      <c r="A65" s="164" t="s">
        <v>372</v>
      </c>
      <c r="B65" s="164"/>
      <c r="C65" s="164"/>
      <c r="D65" s="164"/>
      <c r="E65" s="164"/>
      <c r="F65" s="164"/>
      <c r="G65" s="164"/>
      <c r="H65" s="164"/>
      <c r="I65" s="164"/>
      <c r="J65" s="164"/>
      <c r="K65" s="164"/>
      <c r="L65" s="164"/>
    </row>
    <row r="66" spans="1:12" x14ac:dyDescent="0.25">
      <c r="A66" s="164"/>
      <c r="B66" s="164"/>
      <c r="C66" s="164"/>
      <c r="D66" s="164"/>
      <c r="E66" s="164"/>
      <c r="F66" s="164"/>
      <c r="G66" s="164"/>
      <c r="H66" s="164"/>
      <c r="I66" s="164"/>
      <c r="J66" s="164"/>
      <c r="K66" s="164"/>
      <c r="L66" s="164"/>
    </row>
    <row r="68" spans="1:12" x14ac:dyDescent="0.25">
      <c r="B68" t="s">
        <v>193</v>
      </c>
      <c r="C68" s="24">
        <v>1000000</v>
      </c>
      <c r="D68" t="s">
        <v>373</v>
      </c>
    </row>
    <row r="72" spans="1:12" x14ac:dyDescent="0.25">
      <c r="A72" s="35" t="s">
        <v>374</v>
      </c>
      <c r="B72" s="35"/>
      <c r="C72" s="35"/>
      <c r="D72" s="35"/>
      <c r="E72" s="35"/>
      <c r="F72" s="35"/>
      <c r="G72" s="35"/>
      <c r="H72" s="35"/>
      <c r="I72" s="35"/>
      <c r="J72" s="35"/>
      <c r="K72" s="35"/>
      <c r="L72" s="35"/>
    </row>
    <row r="75" spans="1:12" x14ac:dyDescent="0.25">
      <c r="A75" s="180" t="s">
        <v>375</v>
      </c>
      <c r="B75" s="180"/>
      <c r="C75" s="180"/>
      <c r="D75" s="180"/>
      <c r="E75" s="180"/>
      <c r="F75" s="180"/>
      <c r="G75" s="180"/>
      <c r="H75" s="180"/>
    </row>
    <row r="76" spans="1:12" x14ac:dyDescent="0.25">
      <c r="A76" s="180"/>
      <c r="B76" s="180"/>
      <c r="C76" s="180"/>
      <c r="D76" s="180"/>
      <c r="E76" s="180"/>
      <c r="F76" s="180"/>
      <c r="G76" s="180"/>
      <c r="H76" s="180"/>
    </row>
    <row r="77" spans="1:12" x14ac:dyDescent="0.25">
      <c r="A77" s="78"/>
      <c r="B77" s="78"/>
      <c r="C77" s="78"/>
      <c r="D77" s="78"/>
      <c r="E77" s="78"/>
      <c r="F77" s="78"/>
      <c r="G77" s="78"/>
      <c r="H77" s="78"/>
    </row>
    <row r="78" spans="1:12" x14ac:dyDescent="0.25">
      <c r="A78" s="78"/>
      <c r="B78" s="180" t="s">
        <v>376</v>
      </c>
      <c r="C78" s="180"/>
      <c r="D78" s="180"/>
      <c r="E78" s="360">
        <v>7.0000000000000007E-2</v>
      </c>
      <c r="F78" s="78"/>
      <c r="G78" s="78"/>
      <c r="H78" s="78"/>
      <c r="J78" s="159"/>
      <c r="K78" s="159"/>
    </row>
    <row r="79" spans="1:12" x14ac:dyDescent="0.25">
      <c r="A79" s="78"/>
      <c r="B79" s="78"/>
      <c r="C79" s="361" t="s">
        <v>377</v>
      </c>
      <c r="D79" s="361"/>
      <c r="E79" s="362">
        <f>E78/3</f>
        <v>2.3333333333333334E-2</v>
      </c>
      <c r="F79" s="78"/>
      <c r="G79" s="78"/>
      <c r="H79" s="78"/>
      <c r="J79" s="128"/>
    </row>
    <row r="80" spans="1:12" x14ac:dyDescent="0.25">
      <c r="A80" s="78"/>
      <c r="B80" s="78"/>
      <c r="C80" s="360"/>
      <c r="D80" s="78"/>
      <c r="E80" s="78"/>
      <c r="F80" s="78"/>
      <c r="G80" s="78"/>
      <c r="H80" s="78"/>
    </row>
    <row r="81" spans="1:11" x14ac:dyDescent="0.25">
      <c r="A81" s="78"/>
      <c r="B81" s="78"/>
      <c r="C81" s="360"/>
      <c r="D81" s="78"/>
      <c r="E81" s="78"/>
      <c r="F81" s="78"/>
      <c r="G81" s="78"/>
      <c r="H81" s="78"/>
    </row>
    <row r="82" spans="1:11" x14ac:dyDescent="0.25">
      <c r="A82" s="78"/>
      <c r="B82" s="78"/>
      <c r="C82" s="360"/>
      <c r="D82" s="78"/>
      <c r="E82" s="78"/>
      <c r="F82" s="78"/>
      <c r="G82" s="78"/>
      <c r="H82" s="78"/>
    </row>
    <row r="84" spans="1:11" x14ac:dyDescent="0.25">
      <c r="B84" s="44" t="s">
        <v>264</v>
      </c>
      <c r="C84" s="44" t="s">
        <v>194</v>
      </c>
      <c r="D84" s="44" t="s">
        <v>48</v>
      </c>
    </row>
    <row r="85" spans="1:11" ht="15" customHeight="1" x14ac:dyDescent="0.25">
      <c r="B85" s="44">
        <v>0</v>
      </c>
      <c r="C85" s="44"/>
      <c r="D85" s="12">
        <v>60000000</v>
      </c>
      <c r="F85" s="180" t="s">
        <v>378</v>
      </c>
      <c r="G85" s="180"/>
      <c r="H85" s="180"/>
      <c r="I85" s="180"/>
      <c r="J85" s="180"/>
      <c r="K85" s="180"/>
    </row>
    <row r="86" spans="1:11" x14ac:dyDescent="0.25">
      <c r="B86" s="44">
        <v>1</v>
      </c>
      <c r="C86" s="217">
        <f>D85*$E$79</f>
        <v>1400000</v>
      </c>
      <c r="D86" s="217">
        <f>D85+C86</f>
        <v>61400000</v>
      </c>
      <c r="F86" s="180"/>
      <c r="G86" s="180"/>
      <c r="H86" s="180"/>
      <c r="I86" s="180"/>
      <c r="J86" s="180"/>
      <c r="K86" s="180"/>
    </row>
    <row r="87" spans="1:11" x14ac:dyDescent="0.25">
      <c r="B87" s="44">
        <v>2</v>
      </c>
      <c r="C87" s="217">
        <f t="shared" ref="C87:C127" si="4">D86*$E$79</f>
        <v>1432666.6666666667</v>
      </c>
      <c r="D87" s="217">
        <f t="shared" ref="D87:D126" si="5">D86+C87</f>
        <v>62832666.666666664</v>
      </c>
      <c r="F87" s="180"/>
      <c r="G87" s="180"/>
      <c r="H87" s="180"/>
      <c r="I87" s="180"/>
      <c r="J87" s="180"/>
      <c r="K87" s="180"/>
    </row>
    <row r="88" spans="1:11" x14ac:dyDescent="0.25">
      <c r="B88" s="44">
        <v>3</v>
      </c>
      <c r="C88" s="217">
        <f t="shared" si="4"/>
        <v>1466095.5555555555</v>
      </c>
      <c r="D88" s="217">
        <f t="shared" si="5"/>
        <v>64298762.222222216</v>
      </c>
      <c r="F88" s="180"/>
      <c r="G88" s="180"/>
      <c r="H88" s="180"/>
      <c r="I88" s="180"/>
      <c r="J88" s="180"/>
      <c r="K88" s="180"/>
    </row>
    <row r="89" spans="1:11" x14ac:dyDescent="0.25">
      <c r="B89" s="44">
        <v>4</v>
      </c>
      <c r="C89" s="217">
        <f t="shared" si="4"/>
        <v>1500304.4518518518</v>
      </c>
      <c r="D89" s="217">
        <f t="shared" si="5"/>
        <v>65799066.674074069</v>
      </c>
      <c r="F89" s="180"/>
      <c r="G89" s="180"/>
      <c r="H89" s="180"/>
      <c r="I89" s="180"/>
      <c r="J89" s="180"/>
      <c r="K89" s="180"/>
    </row>
    <row r="90" spans="1:11" x14ac:dyDescent="0.25">
      <c r="B90" s="44">
        <v>5</v>
      </c>
      <c r="C90" s="217">
        <f t="shared" si="4"/>
        <v>1535311.555728395</v>
      </c>
      <c r="D90" s="217">
        <f t="shared" si="5"/>
        <v>67334378.229802459</v>
      </c>
      <c r="F90" s="180"/>
      <c r="G90" s="180"/>
      <c r="H90" s="180"/>
      <c r="I90" s="180"/>
      <c r="J90" s="180"/>
      <c r="K90" s="180"/>
    </row>
    <row r="91" spans="1:11" x14ac:dyDescent="0.25">
      <c r="B91" s="44">
        <v>6</v>
      </c>
      <c r="C91" s="217">
        <f t="shared" si="4"/>
        <v>1571135.4920287242</v>
      </c>
      <c r="D91" s="217">
        <f t="shared" si="5"/>
        <v>68905513.721831188</v>
      </c>
      <c r="F91" s="27"/>
      <c r="G91" s="27"/>
      <c r="H91" s="27"/>
      <c r="I91" s="27"/>
      <c r="J91" s="27"/>
      <c r="K91" s="27"/>
    </row>
    <row r="92" spans="1:11" x14ac:dyDescent="0.25">
      <c r="B92" s="44">
        <v>7</v>
      </c>
      <c r="C92" s="217">
        <f t="shared" si="4"/>
        <v>1607795.320176061</v>
      </c>
      <c r="D92" s="217">
        <f t="shared" si="5"/>
        <v>70513309.042007253</v>
      </c>
    </row>
    <row r="93" spans="1:11" x14ac:dyDescent="0.25">
      <c r="B93" s="44">
        <v>8</v>
      </c>
      <c r="C93" s="217">
        <f t="shared" si="4"/>
        <v>1645310.5443135027</v>
      </c>
      <c r="D93" s="217">
        <f t="shared" si="5"/>
        <v>72158619.586320758</v>
      </c>
    </row>
    <row r="94" spans="1:11" x14ac:dyDescent="0.25">
      <c r="B94" s="44">
        <v>9</v>
      </c>
      <c r="C94" s="217">
        <f t="shared" si="4"/>
        <v>1683701.1236808177</v>
      </c>
      <c r="D94" s="217">
        <f t="shared" si="5"/>
        <v>73842320.710001573</v>
      </c>
    </row>
    <row r="95" spans="1:11" x14ac:dyDescent="0.25">
      <c r="B95" s="44">
        <v>10</v>
      </c>
      <c r="C95" s="217">
        <f t="shared" si="4"/>
        <v>1722987.4832333701</v>
      </c>
      <c r="D95" s="217">
        <f t="shared" si="5"/>
        <v>75565308.19323495</v>
      </c>
    </row>
    <row r="96" spans="1:11" x14ac:dyDescent="0.25">
      <c r="B96" s="44">
        <v>11</v>
      </c>
      <c r="C96" s="217">
        <f t="shared" si="4"/>
        <v>1763190.5245088155</v>
      </c>
      <c r="D96" s="217">
        <f t="shared" si="5"/>
        <v>77328498.717743769</v>
      </c>
    </row>
    <row r="97" spans="2:4" x14ac:dyDescent="0.25">
      <c r="B97" s="44">
        <v>12</v>
      </c>
      <c r="C97" s="217">
        <f t="shared" si="4"/>
        <v>1804331.6367473546</v>
      </c>
      <c r="D97" s="217">
        <f t="shared" si="5"/>
        <v>79132830.35449113</v>
      </c>
    </row>
    <row r="98" spans="2:4" x14ac:dyDescent="0.25">
      <c r="B98" s="44">
        <v>13</v>
      </c>
      <c r="C98" s="217">
        <f t="shared" si="4"/>
        <v>1846432.7082714597</v>
      </c>
      <c r="D98" s="217">
        <f t="shared" si="5"/>
        <v>80979263.062762588</v>
      </c>
    </row>
    <row r="99" spans="2:4" x14ac:dyDescent="0.25">
      <c r="B99" s="44">
        <v>14</v>
      </c>
      <c r="C99" s="217">
        <f t="shared" si="4"/>
        <v>1889516.1381311272</v>
      </c>
      <c r="D99" s="217">
        <f t="shared" si="5"/>
        <v>82868779.200893715</v>
      </c>
    </row>
    <row r="100" spans="2:4" x14ac:dyDescent="0.25">
      <c r="B100" s="44">
        <v>15</v>
      </c>
      <c r="C100" s="217">
        <f t="shared" si="4"/>
        <v>1933604.8480208535</v>
      </c>
      <c r="D100" s="217">
        <f t="shared" si="5"/>
        <v>84802384.048914567</v>
      </c>
    </row>
    <row r="101" spans="2:4" x14ac:dyDescent="0.25">
      <c r="B101" s="44">
        <v>16</v>
      </c>
      <c r="C101" s="217">
        <f t="shared" si="4"/>
        <v>1978722.2944746732</v>
      </c>
      <c r="D101" s="217">
        <f t="shared" si="5"/>
        <v>86781106.343389243</v>
      </c>
    </row>
    <row r="102" spans="2:4" x14ac:dyDescent="0.25">
      <c r="B102" s="44">
        <v>17</v>
      </c>
      <c r="C102" s="217">
        <f t="shared" si="4"/>
        <v>2024892.481345749</v>
      </c>
      <c r="D102" s="217">
        <f t="shared" si="5"/>
        <v>88805998.824734986</v>
      </c>
    </row>
    <row r="103" spans="2:4" x14ac:dyDescent="0.25">
      <c r="B103" s="44">
        <v>18</v>
      </c>
      <c r="C103" s="217">
        <f t="shared" si="4"/>
        <v>2072139.9725771497</v>
      </c>
      <c r="D103" s="217">
        <f t="shared" si="5"/>
        <v>90878138.79731214</v>
      </c>
    </row>
    <row r="104" spans="2:4" x14ac:dyDescent="0.25">
      <c r="B104" s="44">
        <v>19</v>
      </c>
      <c r="C104" s="217">
        <f t="shared" si="4"/>
        <v>2120489.9052706165</v>
      </c>
      <c r="D104" s="217">
        <f t="shared" si="5"/>
        <v>92998628.702582762</v>
      </c>
    </row>
    <row r="105" spans="2:4" x14ac:dyDescent="0.25">
      <c r="B105" s="44">
        <v>20</v>
      </c>
      <c r="C105" s="217">
        <f t="shared" si="4"/>
        <v>2169968.0030602645</v>
      </c>
      <c r="D105" s="217">
        <f t="shared" si="5"/>
        <v>95168596.705643028</v>
      </c>
    </row>
    <row r="106" spans="2:4" x14ac:dyDescent="0.25">
      <c r="B106" s="44">
        <v>21</v>
      </c>
      <c r="C106" s="217">
        <f t="shared" si="4"/>
        <v>2220600.5897983373</v>
      </c>
      <c r="D106" s="217">
        <f t="shared" si="5"/>
        <v>97389197.295441359</v>
      </c>
    </row>
    <row r="107" spans="2:4" x14ac:dyDescent="0.25">
      <c r="B107" s="44">
        <v>22</v>
      </c>
      <c r="C107" s="217">
        <f t="shared" si="4"/>
        <v>2272414.6035602987</v>
      </c>
      <c r="D107" s="217">
        <f t="shared" si="5"/>
        <v>99661611.899001658</v>
      </c>
    </row>
    <row r="108" spans="2:4" x14ac:dyDescent="0.25">
      <c r="B108" s="44">
        <v>23</v>
      </c>
      <c r="C108" s="217">
        <f t="shared" si="4"/>
        <v>2325437.6109767053</v>
      </c>
      <c r="D108" s="217">
        <f t="shared" si="5"/>
        <v>101987049.50997837</v>
      </c>
    </row>
    <row r="109" spans="2:4" x14ac:dyDescent="0.25">
      <c r="B109" s="44">
        <v>24</v>
      </c>
      <c r="C109" s="217">
        <f t="shared" si="4"/>
        <v>2379697.8218994956</v>
      </c>
      <c r="D109" s="217">
        <f t="shared" si="5"/>
        <v>104366747.33187786</v>
      </c>
    </row>
    <row r="110" spans="2:4" x14ac:dyDescent="0.25">
      <c r="B110" s="44">
        <v>25</v>
      </c>
      <c r="C110" s="217">
        <f t="shared" si="4"/>
        <v>2435224.1044104835</v>
      </c>
      <c r="D110" s="217">
        <f t="shared" si="5"/>
        <v>106801971.43628834</v>
      </c>
    </row>
    <row r="111" spans="2:4" x14ac:dyDescent="0.25">
      <c r="B111" s="44">
        <v>26</v>
      </c>
      <c r="C111" s="217">
        <f t="shared" si="4"/>
        <v>2492046.0001800614</v>
      </c>
      <c r="D111" s="217">
        <f t="shared" si="5"/>
        <v>109294017.43646841</v>
      </c>
    </row>
    <row r="112" spans="2:4" x14ac:dyDescent="0.25">
      <c r="B112" s="44">
        <v>27</v>
      </c>
      <c r="C112" s="217">
        <f t="shared" si="4"/>
        <v>2550193.7401842629</v>
      </c>
      <c r="D112" s="217">
        <f t="shared" si="5"/>
        <v>111844211.17665267</v>
      </c>
    </row>
    <row r="113" spans="2:4" x14ac:dyDescent="0.25">
      <c r="B113" s="44">
        <v>28</v>
      </c>
      <c r="C113" s="217">
        <f t="shared" si="4"/>
        <v>2609698.2607885622</v>
      </c>
      <c r="D113" s="217">
        <f t="shared" si="5"/>
        <v>114453909.43744123</v>
      </c>
    </row>
    <row r="114" spans="2:4" x14ac:dyDescent="0.25">
      <c r="B114" s="44">
        <v>29</v>
      </c>
      <c r="C114" s="217">
        <f t="shared" si="4"/>
        <v>2670591.220206962</v>
      </c>
      <c r="D114" s="217">
        <f t="shared" si="5"/>
        <v>117124500.65764819</v>
      </c>
    </row>
    <row r="115" spans="2:4" x14ac:dyDescent="0.25">
      <c r="B115" s="44">
        <v>30</v>
      </c>
      <c r="C115" s="217">
        <f t="shared" si="4"/>
        <v>2732905.0153451245</v>
      </c>
      <c r="D115" s="217">
        <f t="shared" si="5"/>
        <v>119857405.67299332</v>
      </c>
    </row>
    <row r="116" spans="2:4" x14ac:dyDescent="0.25">
      <c r="B116" s="44">
        <v>31</v>
      </c>
      <c r="C116" s="217">
        <f t="shared" si="4"/>
        <v>2796672.7990365108</v>
      </c>
      <c r="D116" s="217">
        <f t="shared" si="5"/>
        <v>122654078.47202983</v>
      </c>
    </row>
    <row r="117" spans="2:4" x14ac:dyDescent="0.25">
      <c r="B117" s="44">
        <v>32</v>
      </c>
      <c r="C117" s="217">
        <f t="shared" si="4"/>
        <v>2861928.4976806962</v>
      </c>
      <c r="D117" s="217">
        <f t="shared" si="5"/>
        <v>125516006.96971053</v>
      </c>
    </row>
    <row r="118" spans="2:4" x14ac:dyDescent="0.25">
      <c r="B118" s="44">
        <v>33</v>
      </c>
      <c r="C118" s="217">
        <f t="shared" si="4"/>
        <v>2928706.8292932459</v>
      </c>
      <c r="D118" s="217">
        <f t="shared" si="5"/>
        <v>128444713.79900378</v>
      </c>
    </row>
    <row r="119" spans="2:4" x14ac:dyDescent="0.25">
      <c r="B119" s="44">
        <v>34</v>
      </c>
      <c r="C119" s="217">
        <f t="shared" si="4"/>
        <v>2997043.3219767548</v>
      </c>
      <c r="D119" s="217">
        <f t="shared" si="5"/>
        <v>131441757.12098053</v>
      </c>
    </row>
    <row r="120" spans="2:4" x14ac:dyDescent="0.25">
      <c r="B120" s="44">
        <v>35</v>
      </c>
      <c r="C120" s="217">
        <f t="shared" si="4"/>
        <v>3066974.3328228793</v>
      </c>
      <c r="D120" s="217">
        <f t="shared" si="5"/>
        <v>134508731.45380342</v>
      </c>
    </row>
    <row r="121" spans="2:4" x14ac:dyDescent="0.25">
      <c r="B121" s="44">
        <v>36</v>
      </c>
      <c r="C121" s="217">
        <f t="shared" si="4"/>
        <v>3138537.0672554132</v>
      </c>
      <c r="D121" s="217">
        <f t="shared" si="5"/>
        <v>137647268.52105883</v>
      </c>
    </row>
    <row r="122" spans="2:4" x14ac:dyDescent="0.25">
      <c r="B122" s="44">
        <v>37</v>
      </c>
      <c r="C122" s="217">
        <f t="shared" si="4"/>
        <v>3211769.5988247059</v>
      </c>
      <c r="D122" s="217">
        <f t="shared" si="5"/>
        <v>140859038.11988354</v>
      </c>
    </row>
    <row r="123" spans="2:4" x14ac:dyDescent="0.25">
      <c r="B123" s="44">
        <v>38</v>
      </c>
      <c r="C123" s="217">
        <f t="shared" si="4"/>
        <v>3286710.8894639495</v>
      </c>
      <c r="D123" s="217">
        <f t="shared" si="5"/>
        <v>144145749.0093475</v>
      </c>
    </row>
    <row r="124" spans="2:4" x14ac:dyDescent="0.25">
      <c r="B124" s="44">
        <v>39</v>
      </c>
      <c r="C124" s="217">
        <f t="shared" si="4"/>
        <v>3363400.8102181084</v>
      </c>
      <c r="D124" s="217">
        <f t="shared" si="5"/>
        <v>147509149.81956559</v>
      </c>
    </row>
    <row r="125" spans="2:4" x14ac:dyDescent="0.25">
      <c r="B125" s="44">
        <v>40</v>
      </c>
      <c r="C125" s="217">
        <f t="shared" si="4"/>
        <v>3441880.1624565306</v>
      </c>
      <c r="D125" s="217">
        <f t="shared" si="5"/>
        <v>150951029.98202214</v>
      </c>
    </row>
    <row r="126" spans="2:4" ht="15.75" thickBot="1" x14ac:dyDescent="0.3">
      <c r="B126" s="44">
        <v>41</v>
      </c>
      <c r="C126" s="217">
        <f t="shared" si="4"/>
        <v>3522190.6995805167</v>
      </c>
      <c r="D126" s="363">
        <f t="shared" si="5"/>
        <v>154473220.68160266</v>
      </c>
    </row>
    <row r="127" spans="2:4" ht="15.75" thickBot="1" x14ac:dyDescent="0.3">
      <c r="B127" s="44">
        <v>42</v>
      </c>
      <c r="C127" s="343">
        <f t="shared" si="4"/>
        <v>3604375.1492373953</v>
      </c>
      <c r="D127" s="364">
        <f>D126+C127</f>
        <v>158077595.83084005</v>
      </c>
    </row>
  </sheetData>
  <mergeCells count="18">
    <mergeCell ref="H25:I25"/>
    <mergeCell ref="A65:L66"/>
    <mergeCell ref="A75:H76"/>
    <mergeCell ref="B78:D78"/>
    <mergeCell ref="C79:D79"/>
    <mergeCell ref="F85:K90"/>
    <mergeCell ref="A11:K12"/>
    <mergeCell ref="B14:C14"/>
    <mergeCell ref="B15:D15"/>
    <mergeCell ref="B16:D16"/>
    <mergeCell ref="H22:I22"/>
    <mergeCell ref="H23:I23"/>
    <mergeCell ref="A1:L2"/>
    <mergeCell ref="A4:K4"/>
    <mergeCell ref="B6:C6"/>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8"/>
  <sheetViews>
    <sheetView workbookViewId="0">
      <selection activeCell="D17" sqref="D17"/>
    </sheetView>
  </sheetViews>
  <sheetFormatPr baseColWidth="10" defaultRowHeight="15" x14ac:dyDescent="0.25"/>
  <sheetData>
    <row r="4" spans="1:12" ht="15.75" x14ac:dyDescent="0.25">
      <c r="A4" s="21" t="s">
        <v>28</v>
      </c>
      <c r="B4" s="170" t="s">
        <v>29</v>
      </c>
      <c r="C4" s="170"/>
      <c r="D4" s="170"/>
      <c r="E4" s="170"/>
      <c r="F4" s="170"/>
      <c r="G4" s="170"/>
      <c r="H4" s="170"/>
      <c r="I4" s="170"/>
    </row>
    <row r="5" spans="1:12" ht="15.75" thickBot="1" x14ac:dyDescent="0.3"/>
    <row r="6" spans="1:12" ht="15.75" thickBot="1" x14ac:dyDescent="0.3">
      <c r="B6" s="86" t="s">
        <v>30</v>
      </c>
      <c r="C6" s="87">
        <v>0.05</v>
      </c>
      <c r="F6" s="179" t="s">
        <v>19</v>
      </c>
      <c r="G6" s="179"/>
      <c r="H6" s="165"/>
      <c r="I6" s="165"/>
    </row>
    <row r="7" spans="1:12" ht="15.75" thickBot="1" x14ac:dyDescent="0.3">
      <c r="B7" s="88" t="s">
        <v>32</v>
      </c>
      <c r="C7" s="89">
        <v>3000000</v>
      </c>
      <c r="F7" s="179"/>
      <c r="G7" s="179"/>
      <c r="H7" s="165"/>
      <c r="I7" s="165"/>
    </row>
    <row r="8" spans="1:12" x14ac:dyDescent="0.25">
      <c r="F8" s="23"/>
      <c r="G8" s="23"/>
      <c r="H8" s="1"/>
      <c r="I8" s="1"/>
    </row>
    <row r="9" spans="1:12" x14ac:dyDescent="0.25">
      <c r="B9" s="7" t="s">
        <v>31</v>
      </c>
      <c r="C9" s="7" t="s">
        <v>12</v>
      </c>
      <c r="D9" s="7" t="s">
        <v>14</v>
      </c>
    </row>
    <row r="10" spans="1:12" x14ac:dyDescent="0.25">
      <c r="B10" s="8">
        <v>0</v>
      </c>
      <c r="C10" s="8">
        <v>2019</v>
      </c>
      <c r="D10" s="12">
        <f>$C$7/(1+$C$6)^B10</f>
        <v>3000000</v>
      </c>
    </row>
    <row r="11" spans="1:12" x14ac:dyDescent="0.25">
      <c r="B11" s="8">
        <v>1</v>
      </c>
      <c r="C11" s="8">
        <v>2018</v>
      </c>
      <c r="D11" s="12">
        <f t="shared" ref="D11:D15" si="0">$C$7/(1+$C$6)^B11</f>
        <v>2857142.8571428568</v>
      </c>
      <c r="F11" s="24">
        <v>2350578</v>
      </c>
      <c r="L11" s="24">
        <v>3000000</v>
      </c>
    </row>
    <row r="12" spans="1:12" x14ac:dyDescent="0.25">
      <c r="B12" s="8">
        <v>2</v>
      </c>
      <c r="C12" s="8">
        <v>2017</v>
      </c>
      <c r="D12" s="12">
        <f t="shared" si="0"/>
        <v>2721088.4353741496</v>
      </c>
      <c r="G12" s="22">
        <v>0.05</v>
      </c>
      <c r="H12" s="22">
        <v>0.05</v>
      </c>
      <c r="I12" s="22">
        <v>0.05</v>
      </c>
      <c r="J12" s="22">
        <v>0.05</v>
      </c>
      <c r="K12" s="22">
        <v>0.05</v>
      </c>
    </row>
    <row r="13" spans="1:12" x14ac:dyDescent="0.25">
      <c r="B13" s="8">
        <v>3</v>
      </c>
      <c r="C13" s="8">
        <v>2016</v>
      </c>
      <c r="D13" s="12">
        <f t="shared" si="0"/>
        <v>2591512.7955944277</v>
      </c>
    </row>
    <row r="14" spans="1:12" x14ac:dyDescent="0.25">
      <c r="B14" s="8">
        <v>4</v>
      </c>
      <c r="C14" s="8">
        <v>2015</v>
      </c>
      <c r="D14" s="12">
        <f t="shared" si="0"/>
        <v>2468107.4243756458</v>
      </c>
    </row>
    <row r="15" spans="1:12" ht="15" customHeight="1" x14ac:dyDescent="0.25">
      <c r="B15" s="8">
        <v>5</v>
      </c>
      <c r="C15" s="8">
        <v>2014</v>
      </c>
      <c r="D15" s="25">
        <f t="shared" si="0"/>
        <v>2350578.4994053771</v>
      </c>
      <c r="F15" s="180" t="s">
        <v>143</v>
      </c>
      <c r="G15" s="180"/>
      <c r="H15" s="180"/>
    </row>
    <row r="16" spans="1:12" x14ac:dyDescent="0.25">
      <c r="F16" s="180"/>
      <c r="G16" s="180"/>
      <c r="H16" s="180"/>
    </row>
    <row r="17" spans="6:8" x14ac:dyDescent="0.25">
      <c r="F17" s="180"/>
      <c r="G17" s="180"/>
      <c r="H17" s="180"/>
    </row>
    <row r="18" spans="6:8" x14ac:dyDescent="0.25">
      <c r="F18" s="180"/>
      <c r="G18" s="180"/>
      <c r="H18" s="180"/>
    </row>
  </sheetData>
  <mergeCells count="4">
    <mergeCell ref="B4:I4"/>
    <mergeCell ref="H6:I7"/>
    <mergeCell ref="F6:G7"/>
    <mergeCell ref="F15:H18"/>
  </mergeCells>
  <pageMargins left="0.7" right="0.7" top="0.75" bottom="0.75" header="0.3" footer="0.3"/>
  <pageSetup orientation="portrait" horizontalDpi="360" verticalDpi="36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19" workbookViewId="0">
      <selection activeCell="I39" sqref="I39"/>
    </sheetView>
  </sheetViews>
  <sheetFormatPr baseColWidth="10" defaultRowHeight="15" x14ac:dyDescent="0.25"/>
  <cols>
    <col min="6" max="6" width="14.140625" bestFit="1" customWidth="1"/>
    <col min="8" max="8" width="14.140625" bestFit="1" customWidth="1"/>
    <col min="9" max="9" width="17.7109375" bestFit="1" customWidth="1"/>
  </cols>
  <sheetData>
    <row r="1" spans="1:14" ht="23.25" x14ac:dyDescent="0.35">
      <c r="A1" s="177" t="s">
        <v>379</v>
      </c>
      <c r="B1" s="177"/>
      <c r="C1" s="177"/>
      <c r="D1" s="177"/>
      <c r="E1" s="177"/>
      <c r="F1" s="177"/>
      <c r="G1" s="177"/>
      <c r="H1" s="177"/>
      <c r="I1" s="177"/>
      <c r="J1" s="177"/>
      <c r="K1" s="177"/>
    </row>
    <row r="3" spans="1:14" x14ac:dyDescent="0.25">
      <c r="A3" s="164" t="s">
        <v>380</v>
      </c>
      <c r="B3" s="164"/>
      <c r="C3" s="164"/>
      <c r="D3" s="164"/>
      <c r="E3" s="164"/>
      <c r="F3" s="164"/>
      <c r="G3" s="164"/>
      <c r="H3" s="164"/>
      <c r="I3" s="164"/>
      <c r="J3" s="164"/>
      <c r="K3" s="164"/>
      <c r="L3" s="164"/>
    </row>
    <row r="4" spans="1:14" x14ac:dyDescent="0.25">
      <c r="A4" s="164"/>
      <c r="B4" s="164"/>
      <c r="C4" s="164"/>
      <c r="D4" s="164"/>
      <c r="E4" s="164"/>
      <c r="F4" s="164"/>
      <c r="G4" s="164"/>
      <c r="H4" s="164"/>
      <c r="I4" s="164"/>
      <c r="J4" s="164"/>
      <c r="K4" s="164"/>
      <c r="L4" s="164"/>
    </row>
    <row r="6" spans="1:14" x14ac:dyDescent="0.25">
      <c r="A6" s="202" t="s">
        <v>381</v>
      </c>
      <c r="B6" s="202"/>
      <c r="C6" s="202"/>
    </row>
    <row r="8" spans="1:14" x14ac:dyDescent="0.25">
      <c r="B8" t="s">
        <v>345</v>
      </c>
      <c r="C8">
        <v>20000000</v>
      </c>
    </row>
    <row r="9" spans="1:14" x14ac:dyDescent="0.25">
      <c r="B9" t="s">
        <v>213</v>
      </c>
      <c r="C9" s="223">
        <v>0.02</v>
      </c>
      <c r="D9" t="s">
        <v>219</v>
      </c>
    </row>
    <row r="10" spans="1:14" x14ac:dyDescent="0.25">
      <c r="B10" t="s">
        <v>9</v>
      </c>
      <c r="C10" s="365">
        <v>1.4999999999999999E-2</v>
      </c>
      <c r="D10" t="s">
        <v>382</v>
      </c>
    </row>
    <row r="11" spans="1:14" x14ac:dyDescent="0.25">
      <c r="B11" t="s">
        <v>9</v>
      </c>
      <c r="C11" s="223">
        <v>0.02</v>
      </c>
      <c r="D11" t="s">
        <v>373</v>
      </c>
    </row>
    <row r="12" spans="1:14" x14ac:dyDescent="0.25">
      <c r="M12" s="273"/>
    </row>
    <row r="13" spans="1:14" x14ac:dyDescent="0.25">
      <c r="B13" s="44" t="s">
        <v>264</v>
      </c>
      <c r="C13" s="44" t="s">
        <v>194</v>
      </c>
      <c r="D13" s="44" t="s">
        <v>48</v>
      </c>
      <c r="E13" s="44" t="s">
        <v>9</v>
      </c>
      <c r="F13" s="44" t="s">
        <v>383</v>
      </c>
      <c r="G13" s="366" t="s">
        <v>194</v>
      </c>
      <c r="H13" s="219" t="s">
        <v>384</v>
      </c>
      <c r="M13" s="237"/>
    </row>
    <row r="14" spans="1:14" x14ac:dyDescent="0.25">
      <c r="B14" s="44">
        <v>0</v>
      </c>
      <c r="C14" s="12"/>
      <c r="D14" s="12">
        <f>C8</f>
        <v>20000000</v>
      </c>
      <c r="E14" s="44"/>
      <c r="F14" s="45"/>
      <c r="G14" s="217"/>
      <c r="H14" s="217">
        <f>D14</f>
        <v>20000000</v>
      </c>
      <c r="K14" s="273"/>
      <c r="L14" s="237"/>
      <c r="M14" s="237"/>
    </row>
    <row r="15" spans="1:14" ht="15" customHeight="1" x14ac:dyDescent="0.25">
      <c r="B15" s="44">
        <v>1</v>
      </c>
      <c r="C15" s="12">
        <f>D14*$C$9</f>
        <v>400000</v>
      </c>
      <c r="D15" s="12">
        <f>D14+C15</f>
        <v>20400000</v>
      </c>
      <c r="E15" s="11">
        <f>$C$10</f>
        <v>1.4999999999999999E-2</v>
      </c>
      <c r="F15" s="227">
        <f>((1+$C$9)/(1+$C$10))-1</f>
        <v>4.9261083743843415E-3</v>
      </c>
      <c r="G15" s="367">
        <f>H14*F15</f>
        <v>98522.167487686835</v>
      </c>
      <c r="H15" s="367">
        <f>H14+G15</f>
        <v>20098522.167487688</v>
      </c>
      <c r="J15" s="368" t="s">
        <v>385</v>
      </c>
      <c r="K15" s="368"/>
      <c r="L15" s="368"/>
      <c r="M15" s="368"/>
      <c r="N15" s="368"/>
    </row>
    <row r="16" spans="1:14" x14ac:dyDescent="0.25">
      <c r="B16" s="44">
        <v>2</v>
      </c>
      <c r="C16" s="12">
        <f t="shared" ref="C16:C20" si="0">D15*$C$9</f>
        <v>408000</v>
      </c>
      <c r="D16" s="12">
        <f t="shared" ref="D16:D20" si="1">D15+C16</f>
        <v>20808000</v>
      </c>
      <c r="E16" s="11">
        <f t="shared" ref="E16:E17" si="2">$C$10</f>
        <v>1.4999999999999999E-2</v>
      </c>
      <c r="F16" s="227">
        <f t="shared" ref="F16:F17" si="3">((1+$C$9)/(1+$C$10))-1</f>
        <v>4.9261083743843415E-3</v>
      </c>
      <c r="G16" s="367">
        <f t="shared" ref="G16:G20" si="4">H15*F16</f>
        <v>99007.498362010432</v>
      </c>
      <c r="H16" s="367">
        <f t="shared" ref="H16:H20" si="5">H15+G16</f>
        <v>20197529.665849701</v>
      </c>
      <c r="J16" s="368"/>
      <c r="K16" s="368"/>
      <c r="L16" s="368"/>
      <c r="M16" s="368"/>
      <c r="N16" s="368"/>
    </row>
    <row r="17" spans="1:14" x14ac:dyDescent="0.25">
      <c r="B17" s="44">
        <v>3</v>
      </c>
      <c r="C17" s="12">
        <f t="shared" si="0"/>
        <v>416160</v>
      </c>
      <c r="D17" s="12">
        <f t="shared" si="1"/>
        <v>21224160</v>
      </c>
      <c r="E17" s="11">
        <f t="shared" si="2"/>
        <v>1.4999999999999999E-2</v>
      </c>
      <c r="F17" s="227">
        <f t="shared" si="3"/>
        <v>4.9261083743843415E-3</v>
      </c>
      <c r="G17" s="367">
        <f t="shared" si="4"/>
        <v>99495.220028818381</v>
      </c>
      <c r="H17" s="367">
        <f t="shared" si="5"/>
        <v>20297024.885878518</v>
      </c>
      <c r="J17" s="368"/>
      <c r="K17" s="368"/>
      <c r="L17" s="368"/>
      <c r="M17" s="368"/>
      <c r="N17" s="368"/>
    </row>
    <row r="18" spans="1:14" x14ac:dyDescent="0.25">
      <c r="B18" s="44">
        <v>4</v>
      </c>
      <c r="C18" s="12">
        <f t="shared" si="0"/>
        <v>424483.2</v>
      </c>
      <c r="D18" s="12">
        <f t="shared" si="1"/>
        <v>21648643.199999999</v>
      </c>
      <c r="E18" s="304">
        <f>$C$11</f>
        <v>0.02</v>
      </c>
      <c r="F18" s="275">
        <f>((1+$C$9)/(1+$C$11))-1</f>
        <v>0</v>
      </c>
      <c r="G18" s="367">
        <f t="shared" si="4"/>
        <v>0</v>
      </c>
      <c r="H18" s="367">
        <f t="shared" si="5"/>
        <v>20297024.885878518</v>
      </c>
      <c r="J18" s="368"/>
      <c r="K18" s="368"/>
      <c r="L18" s="368"/>
      <c r="M18" s="368"/>
      <c r="N18" s="368"/>
    </row>
    <row r="19" spans="1:14" x14ac:dyDescent="0.25">
      <c r="B19" s="44">
        <v>5</v>
      </c>
      <c r="C19" s="12">
        <f t="shared" si="0"/>
        <v>432972.864</v>
      </c>
      <c r="D19" s="12">
        <f t="shared" si="1"/>
        <v>22081616.063999999</v>
      </c>
      <c r="E19" s="304">
        <f t="shared" ref="E19:E20" si="6">$C$11</f>
        <v>0.02</v>
      </c>
      <c r="F19" s="275">
        <f t="shared" ref="F19:F20" si="7">((1+$C$9)/(1+$C$11))-1</f>
        <v>0</v>
      </c>
      <c r="G19" s="367">
        <f t="shared" si="4"/>
        <v>0</v>
      </c>
      <c r="H19" s="367">
        <f t="shared" si="5"/>
        <v>20297024.885878518</v>
      </c>
      <c r="J19" s="368"/>
      <c r="K19" s="368"/>
      <c r="L19" s="368"/>
      <c r="M19" s="368"/>
      <c r="N19" s="368"/>
    </row>
    <row r="20" spans="1:14" ht="15.75" thickBot="1" x14ac:dyDescent="0.3">
      <c r="B20" s="356">
        <v>6</v>
      </c>
      <c r="C20" s="235">
        <f t="shared" si="0"/>
        <v>441632.32127999997</v>
      </c>
      <c r="D20" s="235">
        <f t="shared" si="1"/>
        <v>22523248.385279998</v>
      </c>
      <c r="E20" s="304">
        <f t="shared" si="6"/>
        <v>0.02</v>
      </c>
      <c r="F20" s="369">
        <f t="shared" si="7"/>
        <v>0</v>
      </c>
      <c r="G20" s="370">
        <f t="shared" si="4"/>
        <v>0</v>
      </c>
      <c r="H20" s="370">
        <f t="shared" si="5"/>
        <v>20297024.885878518</v>
      </c>
      <c r="J20" s="368"/>
      <c r="K20" s="368"/>
      <c r="L20" s="368"/>
      <c r="M20" s="368"/>
      <c r="N20" s="368"/>
    </row>
    <row r="21" spans="1:14" ht="15.75" thickBot="1" x14ac:dyDescent="0.3">
      <c r="B21" s="245" t="s">
        <v>386</v>
      </c>
      <c r="C21" s="246"/>
      <c r="D21" s="371">
        <f>D20-D14</f>
        <v>2523248.3852799982</v>
      </c>
      <c r="F21" s="245" t="s">
        <v>387</v>
      </c>
      <c r="G21" s="246"/>
      <c r="H21" s="372">
        <f>H20-H14</f>
        <v>297024.88587851822</v>
      </c>
      <c r="J21" s="373"/>
      <c r="K21" s="373"/>
      <c r="L21" s="373"/>
      <c r="M21" s="373"/>
      <c r="N21" s="373"/>
    </row>
    <row r="22" spans="1:14" s="104" customFormat="1" ht="15.75" thickBot="1" x14ac:dyDescent="0.3">
      <c r="B22" s="15"/>
      <c r="C22" s="15"/>
      <c r="D22" s="220"/>
      <c r="F22" s="15"/>
      <c r="G22" s="15"/>
      <c r="H22" s="374"/>
    </row>
    <row r="23" spans="1:14" s="104" customFormat="1" ht="15.75" thickBot="1" x14ac:dyDescent="0.3">
      <c r="B23" s="375" t="s">
        <v>388</v>
      </c>
      <c r="C23" s="376"/>
      <c r="D23" s="377">
        <f>D21-H21</f>
        <v>2226223.49940148</v>
      </c>
      <c r="F23" s="15"/>
      <c r="G23" s="15"/>
      <c r="H23" s="374"/>
    </row>
    <row r="25" spans="1:14" x14ac:dyDescent="0.25">
      <c r="A25" s="165" t="s">
        <v>389</v>
      </c>
      <c r="B25" s="165"/>
      <c r="C25" s="165"/>
      <c r="D25" s="165"/>
      <c r="E25" s="165"/>
      <c r="F25" s="165"/>
      <c r="G25" s="165"/>
    </row>
    <row r="27" spans="1:14" x14ac:dyDescent="0.25">
      <c r="B27" s="44" t="s">
        <v>264</v>
      </c>
      <c r="C27" s="44" t="s">
        <v>194</v>
      </c>
      <c r="D27" s="44" t="s">
        <v>48</v>
      </c>
      <c r="E27" s="44" t="s">
        <v>9</v>
      </c>
      <c r="F27" s="44" t="s">
        <v>383</v>
      </c>
      <c r="G27" s="378" t="s">
        <v>194</v>
      </c>
      <c r="H27" s="219" t="s">
        <v>384</v>
      </c>
      <c r="J27" s="180" t="s">
        <v>390</v>
      </c>
      <c r="K27" s="180"/>
      <c r="L27" s="180"/>
      <c r="M27" s="180"/>
    </row>
    <row r="28" spans="1:14" ht="15" customHeight="1" x14ac:dyDescent="0.25">
      <c r="B28" s="44">
        <v>0</v>
      </c>
      <c r="C28" s="12"/>
      <c r="D28" s="12">
        <f>C8</f>
        <v>20000000</v>
      </c>
      <c r="E28" s="44"/>
      <c r="F28" s="45"/>
      <c r="G28" s="217"/>
      <c r="H28" s="217">
        <f>D28</f>
        <v>20000000</v>
      </c>
      <c r="J28" s="180"/>
      <c r="K28" s="180"/>
      <c r="L28" s="180"/>
      <c r="M28" s="180"/>
    </row>
    <row r="29" spans="1:14" x14ac:dyDescent="0.25">
      <c r="B29" s="44">
        <v>1</v>
      </c>
      <c r="C29" s="12">
        <f>D28*$C$9</f>
        <v>400000</v>
      </c>
      <c r="D29" s="12">
        <f>D28+C29</f>
        <v>20400000</v>
      </c>
      <c r="E29" s="11">
        <f>$C$10</f>
        <v>1.4999999999999999E-2</v>
      </c>
      <c r="F29" s="227">
        <f>((1+$C$9)/(1+E29))-1</f>
        <v>4.9261083743843415E-3</v>
      </c>
      <c r="G29" s="367">
        <f>H28*F29</f>
        <v>98522.167487686835</v>
      </c>
      <c r="H29" s="367">
        <f>H28+G29</f>
        <v>20098522.167487688</v>
      </c>
      <c r="J29" s="180"/>
      <c r="K29" s="180"/>
      <c r="L29" s="180"/>
      <c r="M29" s="180"/>
    </row>
    <row r="30" spans="1:14" x14ac:dyDescent="0.25">
      <c r="B30" s="44">
        <v>2</v>
      </c>
      <c r="C30" s="12">
        <f t="shared" ref="C30:C34" si="8">D29*$C$9</f>
        <v>408000</v>
      </c>
      <c r="D30" s="12">
        <f t="shared" ref="D30:D34" si="9">D29+C30</f>
        <v>20808000</v>
      </c>
      <c r="E30" s="11">
        <f t="shared" ref="E30:E31" si="10">$C$10</f>
        <v>1.4999999999999999E-2</v>
      </c>
      <c r="F30" s="227">
        <f t="shared" ref="F30:F34" si="11">((1+$C$9)/(1+E30))-1</f>
        <v>4.9261083743843415E-3</v>
      </c>
      <c r="G30" s="367">
        <f t="shared" ref="G30:G34" si="12">H29*F30</f>
        <v>99007.498362010432</v>
      </c>
      <c r="H30" s="367">
        <f t="shared" ref="H30:H34" si="13">H29+G30</f>
        <v>20197529.665849701</v>
      </c>
      <c r="J30" s="180"/>
      <c r="K30" s="180"/>
      <c r="L30" s="180"/>
      <c r="M30" s="180"/>
    </row>
    <row r="31" spans="1:14" x14ac:dyDescent="0.25">
      <c r="B31" s="44">
        <v>3</v>
      </c>
      <c r="C31" s="12">
        <f t="shared" si="8"/>
        <v>416160</v>
      </c>
      <c r="D31" s="12">
        <f t="shared" si="9"/>
        <v>21224160</v>
      </c>
      <c r="E31" s="11">
        <f t="shared" si="10"/>
        <v>1.4999999999999999E-2</v>
      </c>
      <c r="F31" s="227">
        <f t="shared" si="11"/>
        <v>4.9261083743843415E-3</v>
      </c>
      <c r="G31" s="367">
        <f t="shared" si="12"/>
        <v>99495.220028818381</v>
      </c>
      <c r="H31" s="367">
        <f t="shared" si="13"/>
        <v>20297024.885878518</v>
      </c>
    </row>
    <row r="32" spans="1:14" x14ac:dyDescent="0.25">
      <c r="B32" s="44">
        <v>4</v>
      </c>
      <c r="C32" s="12">
        <f t="shared" si="8"/>
        <v>424483.2</v>
      </c>
      <c r="D32" s="12">
        <f t="shared" si="9"/>
        <v>21648643.199999999</v>
      </c>
      <c r="E32" s="272">
        <v>3.5000000000000003E-2</v>
      </c>
      <c r="F32" s="227">
        <f t="shared" si="11"/>
        <v>-1.4492753623188359E-2</v>
      </c>
      <c r="G32" s="367">
        <f t="shared" si="12"/>
        <v>-294159.78095476021</v>
      </c>
      <c r="H32" s="367">
        <f t="shared" si="13"/>
        <v>20002865.104923759</v>
      </c>
    </row>
    <row r="33" spans="2:8" x14ac:dyDescent="0.25">
      <c r="B33" s="44">
        <v>5</v>
      </c>
      <c r="C33" s="12">
        <f t="shared" si="8"/>
        <v>432972.864</v>
      </c>
      <c r="D33" s="12">
        <f t="shared" si="9"/>
        <v>22081616.063999999</v>
      </c>
      <c r="E33" s="272">
        <v>3.5000000000000003E-2</v>
      </c>
      <c r="F33" s="227">
        <f t="shared" si="11"/>
        <v>-1.4492753623188359E-2</v>
      </c>
      <c r="G33" s="367">
        <f t="shared" si="12"/>
        <v>-289896.59572353179</v>
      </c>
      <c r="H33" s="367">
        <f t="shared" si="13"/>
        <v>19712968.509200227</v>
      </c>
    </row>
    <row r="34" spans="2:8" ht="15.75" thickBot="1" x14ac:dyDescent="0.3">
      <c r="B34" s="44">
        <v>6</v>
      </c>
      <c r="C34" s="12">
        <f t="shared" si="8"/>
        <v>441632.32127999997</v>
      </c>
      <c r="D34" s="12">
        <f t="shared" si="9"/>
        <v>22523248.385279998</v>
      </c>
      <c r="E34" s="272">
        <v>3.5000000000000003E-2</v>
      </c>
      <c r="F34" s="379">
        <f t="shared" si="11"/>
        <v>-1.4492753623188359E-2</v>
      </c>
      <c r="G34" s="370">
        <f t="shared" si="12"/>
        <v>-285695.1957855096</v>
      </c>
      <c r="H34" s="370">
        <f t="shared" si="13"/>
        <v>19427273.313414715</v>
      </c>
    </row>
    <row r="35" spans="2:8" ht="15.75" thickBot="1" x14ac:dyDescent="0.3">
      <c r="B35" s="245" t="s">
        <v>386</v>
      </c>
      <c r="C35" s="246"/>
      <c r="D35" s="371">
        <f>D34-D28</f>
        <v>2523248.3852799982</v>
      </c>
      <c r="F35" s="245" t="s">
        <v>391</v>
      </c>
      <c r="G35" s="246"/>
      <c r="H35" s="372">
        <f>H28-H34</f>
        <v>572726.68658528477</v>
      </c>
    </row>
  </sheetData>
  <mergeCells count="11">
    <mergeCell ref="B23:C23"/>
    <mergeCell ref="A25:G25"/>
    <mergeCell ref="J27:M30"/>
    <mergeCell ref="B35:C35"/>
    <mergeCell ref="F35:G35"/>
    <mergeCell ref="A1:K1"/>
    <mergeCell ref="A3:L4"/>
    <mergeCell ref="A6:C6"/>
    <mergeCell ref="J15:N20"/>
    <mergeCell ref="B21:C21"/>
    <mergeCell ref="F21:G21"/>
  </mergeCells>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0" workbookViewId="0">
      <selection activeCell="H22" sqref="H22"/>
    </sheetView>
  </sheetViews>
  <sheetFormatPr baseColWidth="10" defaultRowHeight="15" x14ac:dyDescent="0.25"/>
  <sheetData>
    <row r="1" spans="1:11" x14ac:dyDescent="0.25">
      <c r="A1" s="164" t="s">
        <v>399</v>
      </c>
      <c r="B1" s="164"/>
      <c r="C1" s="164"/>
      <c r="D1" s="164"/>
      <c r="E1" s="164"/>
      <c r="F1" s="164"/>
      <c r="G1" s="164"/>
      <c r="H1" s="164"/>
    </row>
    <row r="2" spans="1:11" x14ac:dyDescent="0.25">
      <c r="A2" s="164"/>
      <c r="B2" s="164"/>
      <c r="C2" s="164"/>
      <c r="D2" s="164"/>
      <c r="E2" s="164"/>
      <c r="F2" s="164"/>
      <c r="G2" s="164"/>
      <c r="H2" s="164"/>
    </row>
    <row r="4" spans="1:11" x14ac:dyDescent="0.25">
      <c r="A4" s="202" t="s">
        <v>398</v>
      </c>
      <c r="B4" s="202"/>
    </row>
    <row r="6" spans="1:11" x14ac:dyDescent="0.25">
      <c r="A6" s="165" t="s">
        <v>298</v>
      </c>
      <c r="B6" s="165"/>
      <c r="C6" s="24">
        <v>5000000</v>
      </c>
    </row>
    <row r="8" spans="1:11" x14ac:dyDescent="0.25">
      <c r="B8" s="44" t="s">
        <v>264</v>
      </c>
      <c r="C8" s="44" t="s">
        <v>9</v>
      </c>
      <c r="D8" s="44" t="s">
        <v>383</v>
      </c>
      <c r="E8" s="44" t="s">
        <v>194</v>
      </c>
      <c r="F8" s="44" t="s">
        <v>196</v>
      </c>
    </row>
    <row r="9" spans="1:11" x14ac:dyDescent="0.25">
      <c r="B9" s="44">
        <v>0</v>
      </c>
      <c r="C9" s="44"/>
      <c r="D9" s="44"/>
      <c r="E9" s="217"/>
      <c r="F9" s="217">
        <f>C6</f>
        <v>5000000</v>
      </c>
      <c r="H9" s="180" t="s">
        <v>397</v>
      </c>
      <c r="I9" s="180"/>
      <c r="J9" s="180"/>
      <c r="K9" s="180"/>
    </row>
    <row r="10" spans="1:11" x14ac:dyDescent="0.25">
      <c r="B10" s="44">
        <v>1</v>
      </c>
      <c r="C10" s="382">
        <v>8.9999999999999993E-3</v>
      </c>
      <c r="D10" s="44">
        <f>(1/(1+C10))-1</f>
        <v>-8.9197224975221534E-3</v>
      </c>
      <c r="E10" s="44">
        <f>F9*D10</f>
        <v>-44598.612487610764</v>
      </c>
      <c r="F10" s="217">
        <f>F9+E10</f>
        <v>4955401.3875123896</v>
      </c>
      <c r="H10" s="180"/>
      <c r="I10" s="180"/>
      <c r="J10" s="180"/>
      <c r="K10" s="180"/>
    </row>
    <row r="11" spans="1:11" x14ac:dyDescent="0.25">
      <c r="B11" s="44">
        <v>2</v>
      </c>
      <c r="C11" s="382">
        <v>1.2E-2</v>
      </c>
      <c r="D11" s="44">
        <f>(1/(1+C11))-1</f>
        <v>-1.1857707509881465E-2</v>
      </c>
      <c r="E11" s="44">
        <f>F10*D11</f>
        <v>-58759.700247182693</v>
      </c>
      <c r="F11" s="217">
        <f>F10+E11</f>
        <v>4896641.6872652071</v>
      </c>
      <c r="H11" s="180"/>
      <c r="I11" s="180"/>
      <c r="J11" s="180"/>
      <c r="K11" s="180"/>
    </row>
    <row r="12" spans="1:11" x14ac:dyDescent="0.25">
      <c r="B12" s="44">
        <v>3</v>
      </c>
      <c r="C12" s="382">
        <v>2.1999999999999999E-2</v>
      </c>
      <c r="D12" s="44">
        <f>(1/(1+C12))-1</f>
        <v>-2.1526418786692814E-2</v>
      </c>
      <c r="E12" s="44">
        <f>F11*D12</f>
        <v>-105407.15960844896</v>
      </c>
      <c r="F12" s="217">
        <f>F11+E12</f>
        <v>4791234.5276567582</v>
      </c>
    </row>
    <row r="13" spans="1:11" x14ac:dyDescent="0.25">
      <c r="B13" s="44">
        <v>4</v>
      </c>
      <c r="C13" s="382">
        <v>1.4999999999999999E-2</v>
      </c>
      <c r="D13" s="44">
        <f>(1/(1+C13))-1</f>
        <v>-1.477832512315258E-2</v>
      </c>
      <c r="E13" s="44">
        <f>F12*D13</f>
        <v>-70806.421590985963</v>
      </c>
      <c r="F13" s="217">
        <f>F12+E13</f>
        <v>4720428.1060657725</v>
      </c>
      <c r="H13" s="180" t="s">
        <v>396</v>
      </c>
      <c r="I13" s="180"/>
      <c r="J13" s="180"/>
      <c r="K13" s="180"/>
    </row>
    <row r="14" spans="1:11" x14ac:dyDescent="0.25">
      <c r="E14" t="s">
        <v>395</v>
      </c>
      <c r="F14" s="68">
        <f>F9-F13</f>
        <v>279571.89393422753</v>
      </c>
      <c r="H14" s="180"/>
      <c r="I14" s="180"/>
      <c r="J14" s="180"/>
      <c r="K14" s="180"/>
    </row>
    <row r="15" spans="1:11" x14ac:dyDescent="0.25">
      <c r="H15" s="180"/>
      <c r="I15" s="180"/>
      <c r="J15" s="180"/>
      <c r="K15" s="180"/>
    </row>
    <row r="16" spans="1:11" x14ac:dyDescent="0.25">
      <c r="H16" s="180"/>
      <c r="I16" s="180"/>
      <c r="J16" s="180"/>
      <c r="K16" s="180"/>
    </row>
    <row r="18" spans="1:7" x14ac:dyDescent="0.25">
      <c r="A18" s="35" t="s">
        <v>394</v>
      </c>
      <c r="B18" s="35"/>
      <c r="C18" s="35"/>
      <c r="D18" s="35"/>
    </row>
    <row r="19" spans="1:7" x14ac:dyDescent="0.25">
      <c r="F19" s="185" t="s">
        <v>393</v>
      </c>
      <c r="G19" s="185"/>
    </row>
    <row r="20" spans="1:7" x14ac:dyDescent="0.25">
      <c r="B20" t="s">
        <v>392</v>
      </c>
      <c r="D20" s="381">
        <f>F14</f>
        <v>279571.89393422753</v>
      </c>
      <c r="F20" s="165"/>
      <c r="G20" s="165"/>
    </row>
    <row r="21" spans="1:7" x14ac:dyDescent="0.25">
      <c r="C21" t="s">
        <v>213</v>
      </c>
      <c r="D21" s="380">
        <f>D20/F9</f>
        <v>5.5914378786845506E-2</v>
      </c>
      <c r="F21" s="165"/>
      <c r="G21" s="165"/>
    </row>
  </sheetData>
  <mergeCells count="7">
    <mergeCell ref="F19:G19"/>
    <mergeCell ref="F20:G21"/>
    <mergeCell ref="A1:H2"/>
    <mergeCell ref="A4:B4"/>
    <mergeCell ref="A6:B6"/>
    <mergeCell ref="H9:K11"/>
    <mergeCell ref="H13:K16"/>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1"/>
  <sheetViews>
    <sheetView workbookViewId="0">
      <selection activeCell="J105" sqref="J105"/>
    </sheetView>
  </sheetViews>
  <sheetFormatPr baseColWidth="10" defaultRowHeight="15" x14ac:dyDescent="0.25"/>
  <cols>
    <col min="4" max="4" width="14.140625" bestFit="1" customWidth="1"/>
    <col min="5" max="5" width="15.140625" bestFit="1" customWidth="1"/>
    <col min="6" max="6" width="14.140625" bestFit="1" customWidth="1"/>
    <col min="7" max="7" width="12.5703125" bestFit="1" customWidth="1"/>
    <col min="10" max="10" width="15.140625" bestFit="1" customWidth="1"/>
    <col min="11" max="11" width="14.140625" bestFit="1" customWidth="1"/>
  </cols>
  <sheetData>
    <row r="1" spans="1:14" x14ac:dyDescent="0.25">
      <c r="A1" s="180" t="s">
        <v>408</v>
      </c>
      <c r="B1" s="180"/>
      <c r="C1" s="180"/>
      <c r="D1" s="180"/>
      <c r="E1" s="180"/>
      <c r="F1" s="180"/>
      <c r="G1" s="180"/>
      <c r="H1" s="180"/>
      <c r="I1" s="180"/>
      <c r="J1" s="180"/>
      <c r="K1" s="180"/>
      <c r="L1" s="180"/>
      <c r="M1" s="180"/>
      <c r="N1" s="180"/>
    </row>
    <row r="2" spans="1:14" x14ac:dyDescent="0.25">
      <c r="A2" s="180"/>
      <c r="B2" s="180"/>
      <c r="C2" s="180"/>
      <c r="D2" s="180"/>
      <c r="E2" s="180"/>
      <c r="F2" s="180"/>
      <c r="G2" s="180"/>
      <c r="H2" s="180"/>
      <c r="I2" s="180"/>
      <c r="J2" s="180"/>
      <c r="K2" s="180"/>
      <c r="L2" s="180"/>
      <c r="M2" s="180"/>
      <c r="N2" s="180"/>
    </row>
    <row r="3" spans="1:14" x14ac:dyDescent="0.25">
      <c r="A3" s="180"/>
      <c r="B3" s="180"/>
      <c r="C3" s="180"/>
      <c r="D3" s="180"/>
      <c r="E3" s="180"/>
      <c r="F3" s="180"/>
      <c r="G3" s="180"/>
      <c r="H3" s="180"/>
      <c r="I3" s="180"/>
      <c r="J3" s="180"/>
      <c r="K3" s="180"/>
      <c r="L3" s="180"/>
      <c r="M3" s="180"/>
      <c r="N3" s="180"/>
    </row>
    <row r="4" spans="1:14" x14ac:dyDescent="0.25">
      <c r="A4" s="180"/>
      <c r="B4" s="180"/>
      <c r="C4" s="180"/>
      <c r="D4" s="180"/>
      <c r="E4" s="180"/>
      <c r="F4" s="180"/>
      <c r="G4" s="180"/>
      <c r="H4" s="180"/>
      <c r="I4" s="180"/>
      <c r="J4" s="180"/>
      <c r="K4" s="180"/>
      <c r="L4" s="180"/>
      <c r="M4" s="180"/>
      <c r="N4" s="180"/>
    </row>
    <row r="5" spans="1:14" x14ac:dyDescent="0.25">
      <c r="A5" s="180"/>
      <c r="B5" s="180"/>
      <c r="C5" s="180"/>
      <c r="D5" s="180"/>
      <c r="E5" s="180"/>
      <c r="F5" s="180"/>
      <c r="G5" s="180"/>
      <c r="H5" s="180"/>
      <c r="I5" s="180"/>
      <c r="J5" s="180"/>
      <c r="K5" s="180"/>
      <c r="L5" s="180"/>
      <c r="M5" s="180"/>
      <c r="N5" s="180"/>
    </row>
    <row r="6" spans="1:14" x14ac:dyDescent="0.25">
      <c r="A6" s="180"/>
      <c r="B6" s="180"/>
      <c r="C6" s="180"/>
      <c r="D6" s="180"/>
      <c r="E6" s="180"/>
      <c r="F6" s="180"/>
      <c r="G6" s="180"/>
      <c r="H6" s="180"/>
      <c r="I6" s="180"/>
      <c r="J6" s="180"/>
      <c r="K6" s="180"/>
      <c r="L6" s="180"/>
      <c r="M6" s="180"/>
      <c r="N6" s="180"/>
    </row>
    <row r="8" spans="1:14" x14ac:dyDescent="0.25">
      <c r="A8" t="s">
        <v>407</v>
      </c>
    </row>
    <row r="10" spans="1:14" x14ac:dyDescent="0.25">
      <c r="B10" t="s">
        <v>213</v>
      </c>
      <c r="C10" s="389">
        <v>6.5000000000000002E-2</v>
      </c>
      <c r="H10" t="s">
        <v>213</v>
      </c>
      <c r="I10" s="365">
        <v>9.4E-2</v>
      </c>
    </row>
    <row r="12" spans="1:14" x14ac:dyDescent="0.25">
      <c r="B12" s="80" t="s">
        <v>344</v>
      </c>
      <c r="C12" s="80" t="s">
        <v>289</v>
      </c>
      <c r="D12" s="80" t="s">
        <v>400</v>
      </c>
      <c r="E12" s="80" t="s">
        <v>48</v>
      </c>
      <c r="H12" s="80" t="s">
        <v>344</v>
      </c>
      <c r="I12" s="80" t="s">
        <v>289</v>
      </c>
      <c r="J12" s="80" t="s">
        <v>400</v>
      </c>
      <c r="K12" s="80" t="s">
        <v>48</v>
      </c>
    </row>
    <row r="13" spans="1:14" x14ac:dyDescent="0.25">
      <c r="B13" s="80">
        <v>0</v>
      </c>
      <c r="C13" s="267">
        <v>2000000</v>
      </c>
      <c r="D13" s="80"/>
      <c r="E13" s="267">
        <f>C13</f>
        <v>2000000</v>
      </c>
      <c r="H13" s="80">
        <v>0</v>
      </c>
      <c r="I13" s="267">
        <v>2000000</v>
      </c>
      <c r="J13" s="80"/>
      <c r="K13" s="267">
        <f>I13</f>
        <v>2000000</v>
      </c>
    </row>
    <row r="14" spans="1:14" x14ac:dyDescent="0.25">
      <c r="B14" s="80">
        <v>1</v>
      </c>
      <c r="C14" s="29">
        <v>1000000</v>
      </c>
      <c r="D14" s="264">
        <f>E13*$C$10</f>
        <v>130000</v>
      </c>
      <c r="E14" s="267">
        <f>E13+D14+C14</f>
        <v>3130000</v>
      </c>
      <c r="H14" s="80">
        <v>1</v>
      </c>
      <c r="I14" s="29">
        <v>1000000</v>
      </c>
      <c r="J14" s="264">
        <f>K13*$I$10</f>
        <v>188000</v>
      </c>
      <c r="K14" s="267">
        <f>K13+J14+I14</f>
        <v>3188000</v>
      </c>
    </row>
    <row r="15" spans="1:14" x14ac:dyDescent="0.25">
      <c r="B15" s="80">
        <v>2</v>
      </c>
      <c r="C15" s="29">
        <v>1000000</v>
      </c>
      <c r="D15" s="264">
        <f>E14*$C$10</f>
        <v>203450</v>
      </c>
      <c r="E15" s="267">
        <f>E14+D15+C15</f>
        <v>4333450</v>
      </c>
      <c r="H15" s="80">
        <v>2</v>
      </c>
      <c r="I15" s="29">
        <v>1000000</v>
      </c>
      <c r="J15" s="264">
        <f>K14*$I$10</f>
        <v>299672</v>
      </c>
      <c r="K15" s="267">
        <f>K14+J15+I15</f>
        <v>4487672</v>
      </c>
    </row>
    <row r="16" spans="1:14" x14ac:dyDescent="0.25">
      <c r="B16" s="80">
        <v>3</v>
      </c>
      <c r="C16" s="29">
        <v>1000000</v>
      </c>
      <c r="D16" s="264">
        <f>E15*$C$10</f>
        <v>281674.25</v>
      </c>
      <c r="E16" s="267">
        <f>E15+D16+C16</f>
        <v>5615124.25</v>
      </c>
      <c r="H16" s="80">
        <v>3</v>
      </c>
      <c r="I16" s="29">
        <v>1000000</v>
      </c>
      <c r="J16" s="264">
        <f>K15*$I$10</f>
        <v>421841.16800000001</v>
      </c>
      <c r="K16" s="267">
        <f>K15+J16+I16</f>
        <v>5909513.1679999996</v>
      </c>
    </row>
    <row r="17" spans="2:11" x14ac:dyDescent="0.25">
      <c r="B17" s="80">
        <v>4</v>
      </c>
      <c r="C17" s="29">
        <v>1000000</v>
      </c>
      <c r="D17" s="264">
        <f>E16*$C$10</f>
        <v>364983.07624999998</v>
      </c>
      <c r="E17" s="267">
        <f>E16+D17+C17</f>
        <v>6980107.3262499999</v>
      </c>
      <c r="H17" s="80">
        <v>4</v>
      </c>
      <c r="I17" s="29">
        <v>1000000</v>
      </c>
      <c r="J17" s="264">
        <f>K16*$I$10</f>
        <v>555494.23779199994</v>
      </c>
      <c r="K17" s="267">
        <f>K16+J17+I17</f>
        <v>7465007.4057919998</v>
      </c>
    </row>
    <row r="18" spans="2:11" x14ac:dyDescent="0.25">
      <c r="B18" s="80">
        <v>5</v>
      </c>
      <c r="C18" s="29">
        <v>1000000</v>
      </c>
      <c r="D18" s="264">
        <f>E17*$C$10</f>
        <v>453706.97620625002</v>
      </c>
      <c r="E18" s="267">
        <f>E17+D18+C18</f>
        <v>8433814.3024562504</v>
      </c>
      <c r="H18" s="80">
        <v>5</v>
      </c>
      <c r="I18" s="29">
        <v>1000000</v>
      </c>
      <c r="J18" s="264">
        <f>K17*$I$10</f>
        <v>701710.69614444801</v>
      </c>
      <c r="K18" s="267">
        <f>K17+J18+I18</f>
        <v>9166718.1019364484</v>
      </c>
    </row>
    <row r="19" spans="2:11" x14ac:dyDescent="0.25">
      <c r="B19" s="80">
        <v>6</v>
      </c>
      <c r="C19" s="80"/>
      <c r="D19" s="264">
        <f>E18*$C$10</f>
        <v>548197.92965965625</v>
      </c>
      <c r="E19" s="267">
        <f>E18+D19+C19</f>
        <v>8982012.2321159057</v>
      </c>
      <c r="H19" s="80">
        <v>6</v>
      </c>
      <c r="I19" s="80"/>
      <c r="J19" s="264">
        <f>K18*$I$10</f>
        <v>861671.50158202613</v>
      </c>
      <c r="K19" s="267">
        <f>K18+J19+I19</f>
        <v>10028389.603518475</v>
      </c>
    </row>
    <row r="20" spans="2:11" x14ac:dyDescent="0.25">
      <c r="B20" s="80">
        <v>7</v>
      </c>
      <c r="C20" s="80"/>
      <c r="D20" s="264">
        <f>E19*$C$10</f>
        <v>583830.79508753389</v>
      </c>
      <c r="E20" s="267">
        <f>E19+D20+C20</f>
        <v>9565843.0272034388</v>
      </c>
      <c r="H20" s="80">
        <v>7</v>
      </c>
      <c r="I20" s="80"/>
      <c r="J20" s="264">
        <f>K19*$I$10</f>
        <v>942668.62273073662</v>
      </c>
      <c r="K20" s="267">
        <f>K19+J20+I20</f>
        <v>10971058.226249211</v>
      </c>
    </row>
    <row r="21" spans="2:11" x14ac:dyDescent="0.25">
      <c r="B21" s="80">
        <v>8</v>
      </c>
      <c r="C21" s="80"/>
      <c r="D21" s="264">
        <f>E20*$C$10</f>
        <v>621779.79676822352</v>
      </c>
      <c r="E21" s="267">
        <f>E20+D21+C21</f>
        <v>10187622.823971663</v>
      </c>
      <c r="H21" s="80">
        <v>8</v>
      </c>
      <c r="I21" s="80"/>
      <c r="J21" s="264">
        <f>K20*$I$10</f>
        <v>1031279.4732674258</v>
      </c>
      <c r="K21" s="267">
        <f>K20+J21+I21</f>
        <v>12002337.699516635</v>
      </c>
    </row>
    <row r="22" spans="2:11" x14ac:dyDescent="0.25">
      <c r="B22" s="80">
        <v>9</v>
      </c>
      <c r="C22" s="80"/>
      <c r="D22" s="264">
        <f>E21*$C$10</f>
        <v>662195.48355815804</v>
      </c>
      <c r="E22" s="267">
        <f>E21+D22+C22</f>
        <v>10849818.30752982</v>
      </c>
      <c r="H22" s="80">
        <v>9</v>
      </c>
      <c r="I22" s="80"/>
      <c r="J22" s="264">
        <f>K21*$I$10</f>
        <v>1128219.7437545636</v>
      </c>
      <c r="K22" s="267">
        <f>K21+J22+I22</f>
        <v>13130557.443271199</v>
      </c>
    </row>
    <row r="23" spans="2:11" x14ac:dyDescent="0.25">
      <c r="B23" s="80">
        <v>10</v>
      </c>
      <c r="C23" s="80"/>
      <c r="D23" s="264">
        <f>E22*$C$10</f>
        <v>705238.18998943828</v>
      </c>
      <c r="E23" s="267">
        <f>E22+D23+C23</f>
        <v>11555056.497519258</v>
      </c>
      <c r="H23" s="80">
        <v>10</v>
      </c>
      <c r="I23" s="80"/>
      <c r="J23" s="264">
        <f>K22*$I$10</f>
        <v>1234272.3996674928</v>
      </c>
      <c r="K23" s="267">
        <f>K22+J23+I23</f>
        <v>14364829.842938691</v>
      </c>
    </row>
    <row r="24" spans="2:11" x14ac:dyDescent="0.25">
      <c r="B24" s="80">
        <v>11</v>
      </c>
      <c r="C24" s="80"/>
      <c r="D24" s="264">
        <f>E23*$C$10</f>
        <v>751078.67233875184</v>
      </c>
      <c r="E24" s="267">
        <f>E23+D24+C24</f>
        <v>12306135.16985801</v>
      </c>
      <c r="H24" s="80">
        <v>11</v>
      </c>
      <c r="I24" s="80"/>
      <c r="J24" s="264">
        <f>K23*$I$10</f>
        <v>1350294.0052362371</v>
      </c>
      <c r="K24" s="267">
        <f>K23+J24+I24</f>
        <v>15715123.848174928</v>
      </c>
    </row>
    <row r="25" spans="2:11" x14ac:dyDescent="0.25">
      <c r="B25" s="80">
        <v>12</v>
      </c>
      <c r="C25" s="80"/>
      <c r="D25" s="264">
        <f>E24*$C$10</f>
        <v>799898.7860407707</v>
      </c>
      <c r="E25" s="267">
        <f>E24+D25+C25</f>
        <v>13106033.95589878</v>
      </c>
      <c r="H25" s="80">
        <v>12</v>
      </c>
      <c r="I25" s="80"/>
      <c r="J25" s="264">
        <f>K24*$I$10</f>
        <v>1477221.6417284433</v>
      </c>
      <c r="K25" s="267">
        <f>K24+J25+I25</f>
        <v>17192345.489903372</v>
      </c>
    </row>
    <row r="26" spans="2:11" x14ac:dyDescent="0.25">
      <c r="B26" s="80">
        <v>13</v>
      </c>
      <c r="C26" s="80"/>
      <c r="D26" s="264">
        <f>E25*$C$10</f>
        <v>851892.20713342074</v>
      </c>
      <c r="E26" s="267">
        <f>E25+D26+C26</f>
        <v>13957926.1630322</v>
      </c>
      <c r="H26" s="80">
        <v>13</v>
      </c>
      <c r="I26" s="80"/>
      <c r="J26" s="264">
        <f>K25*$I$10</f>
        <v>1616080.4760509171</v>
      </c>
      <c r="K26" s="267">
        <f>K25+J26+I26</f>
        <v>18808425.965954289</v>
      </c>
    </row>
    <row r="27" spans="2:11" x14ac:dyDescent="0.25">
      <c r="B27" s="80">
        <v>14</v>
      </c>
      <c r="C27" s="80"/>
      <c r="D27" s="264">
        <f>E26*$C$10</f>
        <v>907265.20059709309</v>
      </c>
      <c r="E27" s="267">
        <f>E26+D27+C27</f>
        <v>14865191.363629293</v>
      </c>
      <c r="H27" s="80">
        <v>14</v>
      </c>
      <c r="I27" s="80"/>
      <c r="J27" s="264">
        <f>K26*$I$10</f>
        <v>1767992.0407997032</v>
      </c>
      <c r="K27" s="267">
        <f>K26+J27+I27</f>
        <v>20576418.006753992</v>
      </c>
    </row>
    <row r="28" spans="2:11" x14ac:dyDescent="0.25">
      <c r="B28" s="80">
        <v>15</v>
      </c>
      <c r="C28" s="80"/>
      <c r="D28" s="264">
        <f>E27*$C$10</f>
        <v>966237.43863590411</v>
      </c>
      <c r="E28" s="267">
        <f>E27+D28+C28</f>
        <v>15831428.802265197</v>
      </c>
      <c r="H28" s="80">
        <v>15</v>
      </c>
      <c r="I28" s="80"/>
      <c r="J28" s="264">
        <f>K27*$I$10</f>
        <v>1934183.2926348753</v>
      </c>
      <c r="K28" s="267">
        <f>K27+J28+I28</f>
        <v>22510601.299388867</v>
      </c>
    </row>
    <row r="29" spans="2:11" x14ac:dyDescent="0.25">
      <c r="B29" s="80">
        <v>16</v>
      </c>
      <c r="C29" s="80"/>
      <c r="D29" s="264">
        <f>E28*$C$10</f>
        <v>1029042.8721472379</v>
      </c>
      <c r="E29" s="267">
        <f>E28+D29+C29</f>
        <v>16860471.674412437</v>
      </c>
      <c r="H29" s="80">
        <v>16</v>
      </c>
      <c r="I29" s="80"/>
      <c r="J29" s="264">
        <f>K28*$I$10</f>
        <v>2115996.5221425537</v>
      </c>
      <c r="K29" s="267">
        <f>K28+J29+I29</f>
        <v>24626597.821531422</v>
      </c>
    </row>
    <row r="30" spans="2:11" x14ac:dyDescent="0.25">
      <c r="B30" s="80">
        <v>17</v>
      </c>
      <c r="C30" s="80"/>
      <c r="D30" s="264">
        <f>E29*$C$10</f>
        <v>1095930.6588368085</v>
      </c>
      <c r="E30" s="267">
        <f>E29+D30+C30</f>
        <v>17956402.333249245</v>
      </c>
      <c r="H30" s="80">
        <v>17</v>
      </c>
      <c r="I30" s="80"/>
      <c r="J30" s="264">
        <f>K29*$I$10</f>
        <v>2314900.1952239536</v>
      </c>
      <c r="K30" s="267">
        <f>K29+J30+I30</f>
        <v>26941498.016755376</v>
      </c>
    </row>
    <row r="31" spans="2:11" x14ac:dyDescent="0.25">
      <c r="B31" s="80">
        <v>18</v>
      </c>
      <c r="C31" s="80"/>
      <c r="D31" s="264">
        <f>E30*$C$10</f>
        <v>1167166.1516612009</v>
      </c>
      <c r="E31" s="267">
        <f>E30+D31+C31</f>
        <v>19123568.484910447</v>
      </c>
      <c r="H31" s="80">
        <v>18</v>
      </c>
      <c r="I31" s="80"/>
      <c r="J31" s="264">
        <f>K30*$I$10</f>
        <v>2532500.8135750052</v>
      </c>
      <c r="K31" s="267">
        <f>K30+J31+I31</f>
        <v>29473998.830330379</v>
      </c>
    </row>
    <row r="32" spans="2:11" x14ac:dyDescent="0.25">
      <c r="B32" s="80">
        <v>19</v>
      </c>
      <c r="C32" s="80"/>
      <c r="D32" s="264">
        <f>E31*$C$10</f>
        <v>1243031.9515191792</v>
      </c>
      <c r="E32" s="267">
        <f>E31+D32+C32</f>
        <v>20366600.436429627</v>
      </c>
      <c r="H32" s="80">
        <v>19</v>
      </c>
      <c r="I32" s="80"/>
      <c r="J32" s="264">
        <f>K31*$I$10</f>
        <v>2770555.8900510557</v>
      </c>
      <c r="K32" s="267">
        <f>K31+J32+I32</f>
        <v>32244554.720381435</v>
      </c>
    </row>
    <row r="33" spans="2:11" x14ac:dyDescent="0.25">
      <c r="B33" s="80">
        <v>20</v>
      </c>
      <c r="C33" s="80"/>
      <c r="D33" s="264">
        <f>E32*$C$10</f>
        <v>1323829.0283679259</v>
      </c>
      <c r="E33" s="267">
        <f>E32+D33+C33</f>
        <v>21690429.464797553</v>
      </c>
      <c r="H33" s="80">
        <v>20</v>
      </c>
      <c r="I33" s="80"/>
      <c r="J33" s="264">
        <f>K32*$I$10</f>
        <v>3030988.1437158547</v>
      </c>
      <c r="K33" s="267">
        <f>K32+J33+I33</f>
        <v>35275542.86409729</v>
      </c>
    </row>
    <row r="34" spans="2:11" x14ac:dyDescent="0.25">
      <c r="B34" s="80">
        <v>21</v>
      </c>
      <c r="C34" s="80"/>
      <c r="D34" s="264">
        <f>E33*$C$10</f>
        <v>1409877.915211841</v>
      </c>
      <c r="E34" s="267">
        <f>E33+D34+C34</f>
        <v>23100307.380009394</v>
      </c>
      <c r="H34" s="80">
        <v>21</v>
      </c>
      <c r="I34" s="80"/>
      <c r="J34" s="264">
        <f>K33*$I$10</f>
        <v>3315901.0292251455</v>
      </c>
      <c r="K34" s="267">
        <f>K33+J34+I34</f>
        <v>38591443.893322438</v>
      </c>
    </row>
    <row r="35" spans="2:11" x14ac:dyDescent="0.25">
      <c r="B35" s="80">
        <v>22</v>
      </c>
      <c r="C35" s="80"/>
      <c r="D35" s="264">
        <f>E34*$C$10</f>
        <v>1501519.9797006107</v>
      </c>
      <c r="E35" s="267">
        <f>E34+D35+C35</f>
        <v>24601827.359710004</v>
      </c>
      <c r="H35" s="80">
        <v>22</v>
      </c>
      <c r="I35" s="80"/>
      <c r="J35" s="264">
        <f>K34*$I$10</f>
        <v>3627595.7259723092</v>
      </c>
      <c r="K35" s="267">
        <f>K34+J35+I35</f>
        <v>42219039.619294748</v>
      </c>
    </row>
    <row r="36" spans="2:11" x14ac:dyDescent="0.25">
      <c r="B36" s="80">
        <v>23</v>
      </c>
      <c r="C36" s="80"/>
      <c r="D36" s="264">
        <f>E35*$C$10</f>
        <v>1599118.7783811502</v>
      </c>
      <c r="E36" s="267">
        <f>E35+D36+C36</f>
        <v>26200946.138091154</v>
      </c>
      <c r="H36" s="80">
        <v>23</v>
      </c>
      <c r="I36" s="80"/>
      <c r="J36" s="264">
        <f>K35*$I$10</f>
        <v>3968589.7242137063</v>
      </c>
      <c r="K36" s="267">
        <f>K35+J36+I36</f>
        <v>46187629.343508452</v>
      </c>
    </row>
    <row r="37" spans="2:11" x14ac:dyDescent="0.25">
      <c r="B37" s="80">
        <v>24</v>
      </c>
      <c r="C37" s="80"/>
      <c r="D37" s="264">
        <f>E36*$C$10</f>
        <v>1703061.4989759251</v>
      </c>
      <c r="E37" s="267">
        <f>E36+D37+C37</f>
        <v>27904007.63706708</v>
      </c>
      <c r="H37" s="80">
        <v>24</v>
      </c>
      <c r="I37" s="80"/>
      <c r="J37" s="264">
        <f>K36*$I$10</f>
        <v>4341637.1582897948</v>
      </c>
      <c r="K37" s="267">
        <f>K36+J37+I37</f>
        <v>50529266.50179825</v>
      </c>
    </row>
    <row r="38" spans="2:11" x14ac:dyDescent="0.25">
      <c r="B38" s="80">
        <v>25</v>
      </c>
      <c r="C38" s="80"/>
      <c r="D38" s="264">
        <f>E37*$C$10</f>
        <v>1813760.4964093603</v>
      </c>
      <c r="E38" s="267">
        <f>E37+D38+C38</f>
        <v>29717768.13347644</v>
      </c>
      <c r="H38" s="80">
        <v>25</v>
      </c>
      <c r="I38" s="80"/>
      <c r="J38" s="264">
        <f>K37*$I$10</f>
        <v>4749751.051169036</v>
      </c>
      <c r="K38" s="267">
        <f>K37+J38+I38</f>
        <v>55279017.552967288</v>
      </c>
    </row>
    <row r="39" spans="2:11" x14ac:dyDescent="0.25">
      <c r="B39" s="80">
        <v>26</v>
      </c>
      <c r="C39" s="80"/>
      <c r="D39" s="264">
        <f>E38*$C$10</f>
        <v>1931654.9286759687</v>
      </c>
      <c r="E39" s="267">
        <f>E38+D39+C39</f>
        <v>31649423.062152408</v>
      </c>
      <c r="H39" s="80">
        <v>26</v>
      </c>
      <c r="I39" s="80"/>
      <c r="J39" s="264">
        <f>K38*$I$10</f>
        <v>5196227.6499789255</v>
      </c>
      <c r="K39" s="267">
        <f>K38+J39+I39</f>
        <v>60475245.202946216</v>
      </c>
    </row>
    <row r="40" spans="2:11" x14ac:dyDescent="0.25">
      <c r="B40" s="80">
        <v>27</v>
      </c>
      <c r="C40" s="80"/>
      <c r="D40" s="264">
        <f>E39*$C$10</f>
        <v>2057212.4990399065</v>
      </c>
      <c r="E40" s="267">
        <f>E39+D40+C40</f>
        <v>33706635.561192311</v>
      </c>
      <c r="H40" s="80">
        <v>27</v>
      </c>
      <c r="I40" s="80"/>
      <c r="J40" s="264">
        <f>K39*$I$10</f>
        <v>5684673.0490769446</v>
      </c>
      <c r="K40" s="267">
        <f>K39+J40+I40</f>
        <v>66159918.25202316</v>
      </c>
    </row>
    <row r="41" spans="2:11" x14ac:dyDescent="0.25">
      <c r="B41" s="80">
        <v>28</v>
      </c>
      <c r="C41" s="80"/>
      <c r="D41" s="264">
        <f>E40*$C$10</f>
        <v>2190931.3114775005</v>
      </c>
      <c r="E41" s="267">
        <f>E40+D41+C41</f>
        <v>35897566.872669809</v>
      </c>
      <c r="H41" s="80">
        <v>28</v>
      </c>
      <c r="I41" s="80"/>
      <c r="J41" s="264">
        <f>K40*$I$10</f>
        <v>6219032.3156901775</v>
      </c>
      <c r="K41" s="267">
        <f>K40+J41+I41</f>
        <v>72378950.567713335</v>
      </c>
    </row>
    <row r="42" spans="2:11" x14ac:dyDescent="0.25">
      <c r="B42" s="80">
        <v>29</v>
      </c>
      <c r="C42" s="80"/>
      <c r="D42" s="264">
        <f>E41*$C$10</f>
        <v>2333341.8467235374</v>
      </c>
      <c r="E42" s="267">
        <f>E41+D42+C42</f>
        <v>38230908.719393343</v>
      </c>
      <c r="H42" s="80">
        <v>29</v>
      </c>
      <c r="I42" s="80"/>
      <c r="J42" s="264">
        <f>K41*$I$10</f>
        <v>6803621.3533650534</v>
      </c>
      <c r="K42" s="267">
        <f>K41+J42+I42</f>
        <v>79182571.921078384</v>
      </c>
    </row>
    <row r="43" spans="2:11" x14ac:dyDescent="0.25">
      <c r="B43" s="80">
        <v>30</v>
      </c>
      <c r="C43" s="80"/>
      <c r="D43" s="264">
        <f>E42*$C$10</f>
        <v>2485009.0667605675</v>
      </c>
      <c r="E43" s="267">
        <f>E42+D43+C43</f>
        <v>40715917.786153913</v>
      </c>
      <c r="H43" s="80">
        <v>30</v>
      </c>
      <c r="I43" s="80"/>
      <c r="J43" s="264">
        <f>K42*$I$10</f>
        <v>7443161.7605813676</v>
      </c>
      <c r="K43" s="267">
        <f>K42+J43+I43</f>
        <v>86625733.681659758</v>
      </c>
    </row>
    <row r="44" spans="2:11" x14ac:dyDescent="0.25">
      <c r="B44" s="80">
        <v>31</v>
      </c>
      <c r="C44" s="80"/>
      <c r="D44" s="264">
        <f>E43*$C$10</f>
        <v>2646534.6561000044</v>
      </c>
      <c r="E44" s="267">
        <f>E43+D44+C44</f>
        <v>43362452.442253917</v>
      </c>
      <c r="H44" s="80">
        <v>31</v>
      </c>
      <c r="I44" s="80"/>
      <c r="J44" s="264">
        <f>K43*$I$10</f>
        <v>8142818.9660760174</v>
      </c>
      <c r="K44" s="267">
        <f>K43+J44+I44</f>
        <v>94768552.647735775</v>
      </c>
    </row>
    <row r="45" spans="2:11" x14ac:dyDescent="0.25">
      <c r="B45" s="80">
        <v>32</v>
      </c>
      <c r="C45" s="80"/>
      <c r="D45" s="264">
        <f>E44*$C$10</f>
        <v>2818559.4087465047</v>
      </c>
      <c r="E45" s="267">
        <f>E44+D45+C45</f>
        <v>46181011.851000421</v>
      </c>
      <c r="H45" s="80">
        <v>32</v>
      </c>
      <c r="I45" s="80"/>
      <c r="J45" s="264">
        <f>K44*$I$10</f>
        <v>8908243.9488871619</v>
      </c>
      <c r="K45" s="267">
        <f>K44+J45+I45</f>
        <v>103676796.59662294</v>
      </c>
    </row>
    <row r="46" spans="2:11" x14ac:dyDescent="0.25">
      <c r="B46" s="80">
        <v>33</v>
      </c>
      <c r="C46" s="80"/>
      <c r="D46" s="264">
        <f>E45*$C$10</f>
        <v>3001765.7703150273</v>
      </c>
      <c r="E46" s="267">
        <f>E45+D46+C46</f>
        <v>49182777.621315449</v>
      </c>
      <c r="H46" s="80">
        <v>33</v>
      </c>
      <c r="I46" s="80"/>
      <c r="J46" s="264">
        <f>K45*$I$10</f>
        <v>9745618.880082557</v>
      </c>
      <c r="K46" s="267">
        <f>K45+J46+I46</f>
        <v>113422415.47670551</v>
      </c>
    </row>
    <row r="47" spans="2:11" x14ac:dyDescent="0.25">
      <c r="B47" s="80">
        <v>34</v>
      </c>
      <c r="C47" s="80"/>
      <c r="D47" s="264">
        <f>E46*$C$10</f>
        <v>3196880.5453855041</v>
      </c>
      <c r="E47" s="267">
        <f>E46+D47+C47</f>
        <v>52379658.166700952</v>
      </c>
      <c r="H47" s="80">
        <v>34</v>
      </c>
      <c r="I47" s="80"/>
      <c r="J47" s="264">
        <f>K46*$I$10</f>
        <v>10661707.054810317</v>
      </c>
      <c r="K47" s="267">
        <f>K46+J47+I47</f>
        <v>124084122.53151582</v>
      </c>
    </row>
    <row r="48" spans="2:11" x14ac:dyDescent="0.25">
      <c r="B48" s="80">
        <v>35</v>
      </c>
      <c r="C48" s="80"/>
      <c r="D48" s="264">
        <f>E47*$C$10</f>
        <v>3404677.7808355619</v>
      </c>
      <c r="E48" s="267">
        <f>E47+D48+C48</f>
        <v>55784335.947536513</v>
      </c>
      <c r="H48" s="80">
        <v>35</v>
      </c>
      <c r="I48" s="80"/>
      <c r="J48" s="264">
        <f>K47*$I$10</f>
        <v>11663907.517962487</v>
      </c>
      <c r="K48" s="267">
        <f>K47+J48+I48</f>
        <v>135748030.04947832</v>
      </c>
    </row>
    <row r="49" spans="2:11" x14ac:dyDescent="0.25">
      <c r="B49" s="80">
        <v>36</v>
      </c>
      <c r="C49" s="80"/>
      <c r="D49" s="264">
        <f>E48*$C$10</f>
        <v>3625981.8365898733</v>
      </c>
      <c r="E49" s="267">
        <f>E48+D49+C49</f>
        <v>59410317.784126386</v>
      </c>
      <c r="H49" s="80">
        <v>36</v>
      </c>
      <c r="I49" s="80"/>
      <c r="J49" s="264">
        <f>K48*$I$10</f>
        <v>12760314.824650962</v>
      </c>
      <c r="K49" s="267">
        <f>K48+J49+I49</f>
        <v>148508344.8741293</v>
      </c>
    </row>
    <row r="50" spans="2:11" x14ac:dyDescent="0.25">
      <c r="B50" s="80">
        <v>37</v>
      </c>
      <c r="C50" s="80"/>
      <c r="D50" s="264">
        <f>E49*$C$10</f>
        <v>3861670.6559682153</v>
      </c>
      <c r="E50" s="267">
        <f>E49+D50+C50</f>
        <v>63271988.440094605</v>
      </c>
      <c r="H50" s="80">
        <v>37</v>
      </c>
      <c r="I50" s="80"/>
      <c r="J50" s="264">
        <f>K49*$I$10</f>
        <v>13959784.418168154</v>
      </c>
      <c r="K50" s="267">
        <f>K49+J50+I50</f>
        <v>162468129.29229745</v>
      </c>
    </row>
    <row r="51" spans="2:11" x14ac:dyDescent="0.25">
      <c r="B51" s="80">
        <v>38</v>
      </c>
      <c r="C51" s="80"/>
      <c r="D51" s="264">
        <f>E50*$C$10</f>
        <v>4112679.2486061496</v>
      </c>
      <c r="E51" s="267">
        <f>E50+D51+C51</f>
        <v>67384667.68870075</v>
      </c>
      <c r="H51" s="80">
        <v>38</v>
      </c>
      <c r="I51" s="80"/>
      <c r="J51" s="264">
        <f>K50*$I$10</f>
        <v>15272004.153475961</v>
      </c>
      <c r="K51" s="267">
        <f>K50+J51+I51</f>
        <v>177740133.44577342</v>
      </c>
    </row>
    <row r="52" spans="2:11" x14ac:dyDescent="0.25">
      <c r="B52" s="80">
        <v>39</v>
      </c>
      <c r="C52" s="80"/>
      <c r="D52" s="264">
        <f>E51*$C$10</f>
        <v>4380003.3997655492</v>
      </c>
      <c r="E52" s="267">
        <f>E51+D52+C52</f>
        <v>71764671.088466302</v>
      </c>
      <c r="H52" s="80">
        <v>39</v>
      </c>
      <c r="I52" s="80"/>
      <c r="J52" s="264">
        <f>K51*$I$10</f>
        <v>16707572.543902703</v>
      </c>
      <c r="K52" s="267">
        <f>K51+J52+I52</f>
        <v>194447705.98967612</v>
      </c>
    </row>
    <row r="53" spans="2:11" x14ac:dyDescent="0.25">
      <c r="B53" s="80">
        <v>40</v>
      </c>
      <c r="C53" s="80"/>
      <c r="D53" s="264">
        <f>E52*$C$10</f>
        <v>4664703.6207503099</v>
      </c>
      <c r="E53" s="267">
        <f>E52+D53+C53</f>
        <v>76429374.70921661</v>
      </c>
      <c r="H53" s="80">
        <v>40</v>
      </c>
      <c r="I53" s="80"/>
      <c r="J53" s="264">
        <f>K52*$I$10</f>
        <v>18278084.363029554</v>
      </c>
      <c r="K53" s="267">
        <f>K52+J53+I53</f>
        <v>212725790.35270566</v>
      </c>
    </row>
    <row r="54" spans="2:11" x14ac:dyDescent="0.25">
      <c r="B54" s="80">
        <v>41</v>
      </c>
      <c r="C54" s="80"/>
      <c r="D54" s="264">
        <f>E53*$C$10</f>
        <v>4967909.3560990794</v>
      </c>
      <c r="E54" s="267">
        <f>E53+D54+C54</f>
        <v>81397284.065315694</v>
      </c>
      <c r="H54" s="80">
        <v>41</v>
      </c>
      <c r="I54" s="80"/>
      <c r="J54" s="264">
        <f>K53*$I$10</f>
        <v>19996224.293154333</v>
      </c>
      <c r="K54" s="267">
        <f>K53+J54+I54</f>
        <v>232722014.64585999</v>
      </c>
    </row>
    <row r="55" spans="2:11" x14ac:dyDescent="0.25">
      <c r="B55" s="80">
        <v>42</v>
      </c>
      <c r="C55" s="80"/>
      <c r="D55" s="264">
        <f>E54*$C$10</f>
        <v>5290823.4642455205</v>
      </c>
      <c r="E55" s="267">
        <f>E54+D55+C55</f>
        <v>86688107.529561222</v>
      </c>
      <c r="H55" s="80">
        <v>42</v>
      </c>
      <c r="I55" s="80"/>
      <c r="J55" s="264">
        <f>K54*$I$10</f>
        <v>21875869.37671084</v>
      </c>
      <c r="K55" s="267">
        <f>K54+J55+I55</f>
        <v>254597884.02257082</v>
      </c>
    </row>
    <row r="56" spans="2:11" x14ac:dyDescent="0.25">
      <c r="B56" s="80">
        <v>43</v>
      </c>
      <c r="C56" s="80"/>
      <c r="D56" s="264">
        <f>E55*$C$10</f>
        <v>5634726.9894214794</v>
      </c>
      <c r="E56" s="267">
        <f>E55+D56+C56</f>
        <v>92322834.518982708</v>
      </c>
      <c r="H56" s="80">
        <v>43</v>
      </c>
      <c r="I56" s="80"/>
      <c r="J56" s="264">
        <f>K55*$I$10</f>
        <v>23932201.098121658</v>
      </c>
      <c r="K56" s="267">
        <f>K55+J56+I56</f>
        <v>278530085.12069249</v>
      </c>
    </row>
    <row r="57" spans="2:11" x14ac:dyDescent="0.25">
      <c r="B57" s="80">
        <v>44</v>
      </c>
      <c r="C57" s="80"/>
      <c r="D57" s="264">
        <f>E56*$C$10</f>
        <v>6000984.2437338764</v>
      </c>
      <c r="E57" s="267">
        <f>E56+D57+C57</f>
        <v>98323818.762716591</v>
      </c>
      <c r="H57" s="80">
        <v>44</v>
      </c>
      <c r="I57" s="80"/>
      <c r="J57" s="264">
        <f>K56*$I$10</f>
        <v>26181828.001345094</v>
      </c>
      <c r="K57" s="267">
        <f>K56+J57+I57</f>
        <v>304711913.12203759</v>
      </c>
    </row>
    <row r="58" spans="2:11" x14ac:dyDescent="0.25">
      <c r="B58" s="80">
        <v>45</v>
      </c>
      <c r="C58" s="80"/>
      <c r="D58" s="264">
        <f>E57*$C$10</f>
        <v>6391048.2195765786</v>
      </c>
      <c r="E58" s="267">
        <f>E57+D58+C58</f>
        <v>104714866.98229317</v>
      </c>
      <c r="H58" s="80">
        <v>45</v>
      </c>
      <c r="I58" s="80"/>
      <c r="J58" s="264">
        <f>K57*$I$10</f>
        <v>28642919.833471533</v>
      </c>
      <c r="K58" s="267">
        <f>K57+J58+I58</f>
        <v>333354832.95550913</v>
      </c>
    </row>
    <row r="59" spans="2:11" x14ac:dyDescent="0.25">
      <c r="B59" s="80">
        <v>46</v>
      </c>
      <c r="C59" s="80"/>
      <c r="D59" s="264">
        <f>E58*$C$10</f>
        <v>6806466.3538490562</v>
      </c>
      <c r="E59" s="267">
        <f>E58+D59+C59</f>
        <v>111521333.33614223</v>
      </c>
      <c r="H59" s="80">
        <v>46</v>
      </c>
      <c r="I59" s="80"/>
      <c r="J59" s="264">
        <f>K58*$I$10</f>
        <v>31335354.297817856</v>
      </c>
      <c r="K59" s="267">
        <f>K58+J59+I59</f>
        <v>364690187.25332701</v>
      </c>
    </row>
    <row r="60" spans="2:11" x14ac:dyDescent="0.25">
      <c r="B60" s="80">
        <v>47</v>
      </c>
      <c r="C60" s="80"/>
      <c r="D60" s="264">
        <f>E59*$C$10</f>
        <v>7248886.6668492453</v>
      </c>
      <c r="E60" s="267">
        <f>E59+D60+C60</f>
        <v>118770220.00299147</v>
      </c>
      <c r="H60" s="80">
        <v>47</v>
      </c>
      <c r="I60" s="80"/>
      <c r="J60" s="264">
        <f>K59*$I$10</f>
        <v>34280877.601812743</v>
      </c>
      <c r="K60" s="267">
        <f>K59+J60+I60</f>
        <v>398971064.85513973</v>
      </c>
    </row>
    <row r="61" spans="2:11" x14ac:dyDescent="0.25">
      <c r="B61" s="80">
        <v>48</v>
      </c>
      <c r="C61" s="80"/>
      <c r="D61" s="264">
        <f>E60*$C$10</f>
        <v>7720064.300194446</v>
      </c>
      <c r="E61" s="267">
        <f>E60+D61+C61</f>
        <v>126490284.30318591</v>
      </c>
      <c r="H61" s="80">
        <v>48</v>
      </c>
      <c r="I61" s="80"/>
      <c r="J61" s="264">
        <f>K60*$I$10</f>
        <v>37503280.096383132</v>
      </c>
      <c r="K61" s="267">
        <f>K60+J61+I61</f>
        <v>436474344.95152289</v>
      </c>
    </row>
    <row r="62" spans="2:11" x14ac:dyDescent="0.25">
      <c r="B62" s="80">
        <v>49</v>
      </c>
      <c r="C62" s="80"/>
      <c r="D62" s="264">
        <f>E61*$C$10</f>
        <v>8221868.4797070846</v>
      </c>
      <c r="E62" s="267">
        <f>E61+D62+C62</f>
        <v>134712152.782893</v>
      </c>
      <c r="H62" s="80">
        <v>49</v>
      </c>
      <c r="I62" s="80"/>
      <c r="J62" s="264">
        <f>K61*$I$10</f>
        <v>41028588.42544315</v>
      </c>
      <c r="K62" s="267">
        <f>K61+J62+I62</f>
        <v>477502933.37696606</v>
      </c>
    </row>
    <row r="63" spans="2:11" x14ac:dyDescent="0.25">
      <c r="B63" s="80">
        <v>50</v>
      </c>
      <c r="C63" s="80"/>
      <c r="D63" s="264">
        <f>E62*$C$10</f>
        <v>8756289.9308880456</v>
      </c>
      <c r="E63" s="267">
        <f>E62+D63+C63</f>
        <v>143468442.71378106</v>
      </c>
      <c r="H63" s="80">
        <v>50</v>
      </c>
      <c r="I63" s="80"/>
      <c r="J63" s="264">
        <f>K62*$I$10</f>
        <v>44885275.737434812</v>
      </c>
      <c r="K63" s="267">
        <f>K62+J63+I63</f>
        <v>522388209.11440086</v>
      </c>
    </row>
    <row r="64" spans="2:11" x14ac:dyDescent="0.25">
      <c r="B64" s="80">
        <v>51</v>
      </c>
      <c r="C64" s="80"/>
      <c r="D64" s="264">
        <f>E63*$C$10</f>
        <v>9325448.7763957698</v>
      </c>
      <c r="E64" s="267">
        <f>E63+D64+C64</f>
        <v>152793891.49017683</v>
      </c>
      <c r="H64" s="80">
        <v>51</v>
      </c>
      <c r="I64" s="80"/>
      <c r="J64" s="264">
        <f>K63*$I$10</f>
        <v>49104491.656753682</v>
      </c>
      <c r="K64" s="267">
        <f>K63+J64+I64</f>
        <v>571492700.77115452</v>
      </c>
    </row>
    <row r="65" spans="2:11" x14ac:dyDescent="0.25">
      <c r="B65" s="80">
        <v>52</v>
      </c>
      <c r="C65" s="80"/>
      <c r="D65" s="264">
        <f>E64*$C$10</f>
        <v>9931602.9468614943</v>
      </c>
      <c r="E65" s="267">
        <f>E64+D65+C65</f>
        <v>162725494.43703833</v>
      </c>
      <c r="H65" s="80">
        <v>52</v>
      </c>
      <c r="I65" s="80"/>
      <c r="J65" s="264">
        <f>K64*$I$10</f>
        <v>53720313.872488528</v>
      </c>
      <c r="K65" s="267">
        <f>K64+J65+I65</f>
        <v>625213014.64364302</v>
      </c>
    </row>
    <row r="66" spans="2:11" x14ac:dyDescent="0.25">
      <c r="B66" s="80">
        <v>53</v>
      </c>
      <c r="C66" s="80"/>
      <c r="D66" s="264">
        <f>E65*$C$10</f>
        <v>10577157.138407491</v>
      </c>
      <c r="E66" s="267">
        <f>E65+D66+C66</f>
        <v>173302651.57544583</v>
      </c>
      <c r="H66" s="80">
        <v>53</v>
      </c>
      <c r="I66" s="80"/>
      <c r="J66" s="264">
        <f>K65*$I$10</f>
        <v>58770023.376502447</v>
      </c>
      <c r="K66" s="267">
        <f>K65+J66+I66</f>
        <v>683983038.02014542</v>
      </c>
    </row>
    <row r="67" spans="2:11" x14ac:dyDescent="0.25">
      <c r="B67" s="80">
        <v>54</v>
      </c>
      <c r="C67" s="80"/>
      <c r="D67" s="264">
        <f>E66*$C$10</f>
        <v>11264672.35240398</v>
      </c>
      <c r="E67" s="267">
        <f>E66+D67+C67</f>
        <v>184567323.9278498</v>
      </c>
      <c r="H67" s="80">
        <v>54</v>
      </c>
      <c r="I67" s="80"/>
      <c r="J67" s="264">
        <f>K66*$I$10</f>
        <v>64294405.573893666</v>
      </c>
      <c r="K67" s="267">
        <f>K66+J67+I67</f>
        <v>748277443.59403908</v>
      </c>
    </row>
    <row r="68" spans="2:11" x14ac:dyDescent="0.25">
      <c r="B68" s="80">
        <v>55</v>
      </c>
      <c r="C68" s="80"/>
      <c r="D68" s="264">
        <f>E67*$C$10</f>
        <v>11996876.055310238</v>
      </c>
      <c r="E68" s="267">
        <f>E67+D68+C68</f>
        <v>196564199.98316005</v>
      </c>
      <c r="H68" s="80">
        <v>55</v>
      </c>
      <c r="I68" s="80"/>
      <c r="J68" s="264">
        <f>K67*$I$10</f>
        <v>70338079.697839677</v>
      </c>
      <c r="K68" s="267">
        <f>K67+J68+I68</f>
        <v>818615523.2918787</v>
      </c>
    </row>
    <row r="69" spans="2:11" x14ac:dyDescent="0.25">
      <c r="B69" s="80">
        <v>56</v>
      </c>
      <c r="C69" s="80"/>
      <c r="D69" s="264">
        <f>E68*$C$10</f>
        <v>12776672.998905404</v>
      </c>
      <c r="E69" s="267">
        <f>E68+D69+C69</f>
        <v>209340872.98206544</v>
      </c>
      <c r="H69" s="80">
        <v>56</v>
      </c>
      <c r="I69" s="80"/>
      <c r="J69" s="264">
        <f>K68*$I$10</f>
        <v>76949859.1894366</v>
      </c>
      <c r="K69" s="267">
        <f>K68+J69+I69</f>
        <v>895565382.48131526</v>
      </c>
    </row>
    <row r="70" spans="2:11" x14ac:dyDescent="0.25">
      <c r="B70" s="80">
        <v>57</v>
      </c>
      <c r="C70" s="80"/>
      <c r="D70" s="264">
        <f>E69*$C$10</f>
        <v>13607156.743834253</v>
      </c>
      <c r="E70" s="267">
        <f>E69+D70+C70</f>
        <v>222948029.7258997</v>
      </c>
      <c r="H70" s="80">
        <v>57</v>
      </c>
      <c r="I70" s="80"/>
      <c r="J70" s="264">
        <f>K69*$I$10</f>
        <v>84183145.953243628</v>
      </c>
      <c r="K70" s="267">
        <f>K69+J70+I70</f>
        <v>979748528.43455887</v>
      </c>
    </row>
    <row r="71" spans="2:11" x14ac:dyDescent="0.25">
      <c r="B71" s="80">
        <v>58</v>
      </c>
      <c r="C71" s="80"/>
      <c r="D71" s="264">
        <f>E70*$C$10</f>
        <v>14491621.93218348</v>
      </c>
      <c r="E71" s="267">
        <f>E70+D71+C71</f>
        <v>237439651.65808317</v>
      </c>
      <c r="H71" s="80">
        <v>58</v>
      </c>
      <c r="I71" s="80"/>
      <c r="J71" s="264">
        <f>K70*$I$10</f>
        <v>92096361.672848538</v>
      </c>
      <c r="K71" s="267">
        <f>K70+J71+I71</f>
        <v>1071844890.1074075</v>
      </c>
    </row>
    <row r="72" spans="2:11" x14ac:dyDescent="0.25">
      <c r="B72" s="80">
        <v>59</v>
      </c>
      <c r="C72" s="80"/>
      <c r="D72" s="264">
        <f>E71*$C$10</f>
        <v>15433577.357775407</v>
      </c>
      <c r="E72" s="267">
        <f>E71+D72+C72</f>
        <v>252873229.01585859</v>
      </c>
      <c r="H72" s="80">
        <v>59</v>
      </c>
      <c r="I72" s="80"/>
      <c r="J72" s="264">
        <f>K71*$I$10</f>
        <v>100753419.67009631</v>
      </c>
      <c r="K72" s="267">
        <f>K71+J72+I72</f>
        <v>1172598309.7775037</v>
      </c>
    </row>
    <row r="73" spans="2:11" x14ac:dyDescent="0.25">
      <c r="B73" s="80">
        <v>60</v>
      </c>
      <c r="C73" s="80"/>
      <c r="D73" s="264">
        <f>E72*$C$10</f>
        <v>16436759.886030808</v>
      </c>
      <c r="E73" s="267">
        <f>E72+D73+C73</f>
        <v>269309988.90188938</v>
      </c>
      <c r="H73" s="80">
        <v>60</v>
      </c>
      <c r="I73" s="80"/>
      <c r="J73" s="264">
        <f>K72*$I$10</f>
        <v>110224241.11908536</v>
      </c>
      <c r="K73" s="267">
        <f>K72+J73+I73</f>
        <v>1282822550.896589</v>
      </c>
    </row>
    <row r="74" spans="2:11" x14ac:dyDescent="0.25">
      <c r="B74" s="80">
        <v>61</v>
      </c>
      <c r="C74" s="80"/>
      <c r="D74" s="264">
        <f>E73*$C$10</f>
        <v>17505149.27862281</v>
      </c>
      <c r="E74" s="267">
        <f>E73+D74+C74</f>
        <v>286815138.18051219</v>
      </c>
      <c r="H74" s="80">
        <v>61</v>
      </c>
      <c r="I74" s="80"/>
      <c r="J74" s="264">
        <f>K73*$I$10</f>
        <v>120585319.78427938</v>
      </c>
      <c r="K74" s="267">
        <f>K73+J74+I74</f>
        <v>1403407870.6808684</v>
      </c>
    </row>
    <row r="75" spans="2:11" x14ac:dyDescent="0.25">
      <c r="B75" s="80">
        <v>62</v>
      </c>
      <c r="C75" s="80"/>
      <c r="D75" s="264">
        <f>E74*$C$10</f>
        <v>18642983.981733292</v>
      </c>
      <c r="E75" s="267">
        <f>E74+D75+C75</f>
        <v>305458122.16224551</v>
      </c>
      <c r="H75" s="80">
        <v>62</v>
      </c>
      <c r="I75" s="80"/>
      <c r="J75" s="264">
        <f>K74*$I$10</f>
        <v>131920339.84400164</v>
      </c>
      <c r="K75" s="267">
        <f>K74+J75+I75</f>
        <v>1535328210.5248699</v>
      </c>
    </row>
    <row r="76" spans="2:11" x14ac:dyDescent="0.25">
      <c r="B76" s="80">
        <v>63</v>
      </c>
      <c r="C76" s="80"/>
      <c r="D76" s="264">
        <f>E75*$C$10</f>
        <v>19854777.940545958</v>
      </c>
      <c r="E76" s="267">
        <f>E75+D76+C76</f>
        <v>325312900.10279149</v>
      </c>
      <c r="H76" s="80">
        <v>63</v>
      </c>
      <c r="I76" s="80"/>
      <c r="J76" s="264">
        <f>K75*$I$10</f>
        <v>144320851.78933778</v>
      </c>
      <c r="K76" s="267">
        <f>K75+J76+I76</f>
        <v>1679649062.3142078</v>
      </c>
    </row>
    <row r="77" spans="2:11" ht="15.75" thickBot="1" x14ac:dyDescent="0.3">
      <c r="B77" s="80">
        <v>64</v>
      </c>
      <c r="C77" s="80"/>
      <c r="D77" s="264">
        <f>E76*$C$10</f>
        <v>21145338.506681446</v>
      </c>
      <c r="E77" s="385">
        <f>E76+D77+C77</f>
        <v>346458238.60947293</v>
      </c>
      <c r="H77" s="80">
        <v>64</v>
      </c>
      <c r="I77" s="80"/>
      <c r="J77" s="264">
        <f>K76*$I$10</f>
        <v>157887011.85753554</v>
      </c>
      <c r="K77" s="385">
        <f>K76+J77+I77</f>
        <v>1837536074.1717434</v>
      </c>
    </row>
    <row r="78" spans="2:11" ht="15.75" thickBot="1" x14ac:dyDescent="0.3">
      <c r="B78" s="80">
        <v>65</v>
      </c>
      <c r="C78" s="80"/>
      <c r="D78" s="388">
        <f>E77*$C$10</f>
        <v>22519785.509615742</v>
      </c>
      <c r="E78" s="383">
        <f>E77+D78+C78</f>
        <v>368978024.11908865</v>
      </c>
      <c r="H78" s="80">
        <v>65</v>
      </c>
      <c r="I78" s="80"/>
      <c r="J78" s="388">
        <f>K77*$I$10</f>
        <v>172728390.97214389</v>
      </c>
      <c r="K78" s="383">
        <f>K77+J78+I78</f>
        <v>2010264465.1438873</v>
      </c>
    </row>
    <row r="80" spans="2:11" x14ac:dyDescent="0.25">
      <c r="C80" t="s">
        <v>406</v>
      </c>
    </row>
    <row r="82" spans="1:11" ht="15" customHeight="1" x14ac:dyDescent="0.25">
      <c r="A82" s="180" t="s">
        <v>405</v>
      </c>
      <c r="B82" s="180"/>
      <c r="C82" s="180"/>
      <c r="D82" s="180"/>
      <c r="E82" s="180"/>
      <c r="F82" s="180"/>
      <c r="G82" s="180"/>
      <c r="H82" s="180"/>
      <c r="I82" s="180"/>
      <c r="J82" s="180"/>
      <c r="K82" s="180"/>
    </row>
    <row r="84" spans="1:11" x14ac:dyDescent="0.25">
      <c r="B84" s="180" t="s">
        <v>404</v>
      </c>
      <c r="C84" s="180"/>
      <c r="D84" s="180"/>
      <c r="E84" s="180"/>
      <c r="F84" s="180"/>
      <c r="G84" s="180"/>
      <c r="H84" s="180"/>
    </row>
    <row r="85" spans="1:11" x14ac:dyDescent="0.25">
      <c r="B85" s="180"/>
      <c r="C85" s="180"/>
      <c r="D85" s="180"/>
      <c r="E85" s="180"/>
      <c r="F85" s="180"/>
      <c r="G85" s="180"/>
      <c r="H85" s="180"/>
    </row>
    <row r="86" spans="1:11" x14ac:dyDescent="0.25">
      <c r="B86" s="180"/>
      <c r="C86" s="180"/>
      <c r="D86" s="180"/>
      <c r="E86" s="180"/>
      <c r="F86" s="180"/>
      <c r="G86" s="180"/>
      <c r="H86" s="180"/>
    </row>
    <row r="88" spans="1:11" x14ac:dyDescent="0.25">
      <c r="A88" s="196" t="s">
        <v>403</v>
      </c>
      <c r="B88" s="196"/>
      <c r="C88" s="196"/>
      <c r="D88" s="196"/>
      <c r="E88" s="196"/>
      <c r="F88" s="196"/>
      <c r="G88" s="196"/>
      <c r="H88" s="196"/>
      <c r="I88" s="196"/>
    </row>
    <row r="90" spans="1:11" x14ac:dyDescent="0.25">
      <c r="B90" s="180" t="s">
        <v>402</v>
      </c>
      <c r="C90" s="180"/>
      <c r="D90" s="180"/>
      <c r="E90" s="180"/>
      <c r="F90" s="180"/>
      <c r="G90" s="180"/>
      <c r="H90" s="180"/>
    </row>
    <row r="91" spans="1:11" x14ac:dyDescent="0.25">
      <c r="B91" s="180"/>
      <c r="C91" s="180"/>
      <c r="D91" s="180"/>
      <c r="E91" s="180"/>
      <c r="F91" s="180"/>
      <c r="G91" s="180"/>
      <c r="H91" s="180"/>
    </row>
    <row r="92" spans="1:11" x14ac:dyDescent="0.25">
      <c r="B92" s="180"/>
      <c r="C92" s="180"/>
      <c r="D92" s="180"/>
      <c r="E92" s="180"/>
      <c r="F92" s="180"/>
      <c r="G92" s="180"/>
      <c r="H92" s="180"/>
    </row>
    <row r="93" spans="1:11" x14ac:dyDescent="0.25">
      <c r="B93" s="180"/>
      <c r="C93" s="180"/>
      <c r="D93" s="180"/>
      <c r="E93" s="180"/>
      <c r="F93" s="180"/>
      <c r="G93" s="180"/>
      <c r="H93" s="180"/>
    </row>
    <row r="94" spans="1:11" x14ac:dyDescent="0.25">
      <c r="B94" s="180"/>
      <c r="C94" s="180"/>
      <c r="D94" s="180"/>
      <c r="E94" s="180"/>
      <c r="F94" s="180"/>
      <c r="G94" s="180"/>
      <c r="H94" s="180"/>
    </row>
    <row r="97" spans="1:11" ht="17.25" customHeight="1" x14ac:dyDescent="0.25">
      <c r="A97" s="164" t="s">
        <v>401</v>
      </c>
      <c r="B97" s="164"/>
      <c r="C97" s="164"/>
      <c r="D97" s="164"/>
      <c r="E97" s="164"/>
      <c r="F97" s="164"/>
      <c r="G97" s="164"/>
      <c r="H97" s="164"/>
      <c r="I97" s="164"/>
      <c r="J97" s="164"/>
      <c r="K97" s="164"/>
    </row>
    <row r="98" spans="1:11" x14ac:dyDescent="0.25">
      <c r="A98" s="164"/>
      <c r="B98" s="164"/>
      <c r="C98" s="164"/>
      <c r="D98" s="164"/>
      <c r="E98" s="164"/>
      <c r="F98" s="164"/>
      <c r="G98" s="164"/>
      <c r="H98" s="164"/>
      <c r="I98" s="164"/>
      <c r="J98" s="164"/>
      <c r="K98" s="164"/>
    </row>
    <row r="99" spans="1:11" x14ac:dyDescent="0.25">
      <c r="A99" s="164"/>
      <c r="B99" s="164"/>
      <c r="C99" s="164"/>
      <c r="D99" s="164"/>
      <c r="E99" s="164"/>
      <c r="F99" s="164"/>
      <c r="G99" s="164"/>
      <c r="H99" s="164"/>
      <c r="I99" s="164"/>
      <c r="J99" s="164"/>
      <c r="K99" s="164"/>
    </row>
    <row r="100" spans="1:11" x14ac:dyDescent="0.25">
      <c r="A100" s="164"/>
      <c r="B100" s="164"/>
      <c r="C100" s="164"/>
      <c r="D100" s="164"/>
      <c r="E100" s="164"/>
      <c r="F100" s="164"/>
      <c r="G100" s="164"/>
      <c r="H100" s="164"/>
      <c r="I100" s="164"/>
      <c r="J100" s="164"/>
      <c r="K100" s="164"/>
    </row>
    <row r="101" spans="1:11" x14ac:dyDescent="0.25">
      <c r="A101" s="164"/>
      <c r="B101" s="164"/>
      <c r="C101" s="164"/>
      <c r="D101" s="164"/>
      <c r="E101" s="164"/>
      <c r="F101" s="164"/>
      <c r="G101" s="164"/>
      <c r="H101" s="164"/>
      <c r="I101" s="164"/>
      <c r="J101" s="164"/>
      <c r="K101" s="164"/>
    </row>
    <row r="102" spans="1:11" x14ac:dyDescent="0.25">
      <c r="A102" s="67"/>
      <c r="B102" s="67"/>
      <c r="C102" s="67"/>
      <c r="D102" s="67"/>
      <c r="E102" s="67"/>
      <c r="F102" s="67"/>
      <c r="G102" s="67"/>
      <c r="H102" s="67"/>
      <c r="I102" s="67"/>
      <c r="J102" s="67"/>
    </row>
    <row r="104" spans="1:11" x14ac:dyDescent="0.25">
      <c r="A104" s="387"/>
    </row>
    <row r="105" spans="1:11" x14ac:dyDescent="0.25">
      <c r="A105" s="387"/>
      <c r="B105" s="80" t="s">
        <v>344</v>
      </c>
      <c r="C105" s="80" t="s">
        <v>289</v>
      </c>
      <c r="D105" s="44" t="s">
        <v>9</v>
      </c>
      <c r="E105" s="10" t="s">
        <v>383</v>
      </c>
      <c r="F105" s="80" t="s">
        <v>400</v>
      </c>
      <c r="G105" s="80" t="s">
        <v>48</v>
      </c>
    </row>
    <row r="106" spans="1:11" x14ac:dyDescent="0.25">
      <c r="A106" s="386"/>
      <c r="B106" s="80">
        <v>0</v>
      </c>
      <c r="C106" s="267">
        <v>2000000</v>
      </c>
      <c r="D106" s="80"/>
      <c r="E106" s="80"/>
      <c r="F106" s="80"/>
      <c r="G106" s="267">
        <f>C106</f>
        <v>2000000</v>
      </c>
    </row>
    <row r="107" spans="1:11" x14ac:dyDescent="0.25">
      <c r="A107" s="386"/>
      <c r="B107" s="80">
        <v>1</v>
      </c>
      <c r="C107" s="29">
        <v>1000000</v>
      </c>
      <c r="D107" s="384">
        <v>3.5000000000000003E-2</v>
      </c>
      <c r="E107" s="384">
        <f>((1+6.5%)/(1+D107))-1</f>
        <v>2.898550724637694E-2</v>
      </c>
      <c r="F107" s="264">
        <f>G106*E107</f>
        <v>57971.014492753879</v>
      </c>
      <c r="G107" s="267">
        <f>G106+F107+C107</f>
        <v>3057971.0144927539</v>
      </c>
    </row>
    <row r="108" spans="1:11" x14ac:dyDescent="0.25">
      <c r="B108" s="80">
        <v>2</v>
      </c>
      <c r="C108" s="29">
        <v>1000000</v>
      </c>
      <c r="D108" s="384">
        <v>3.5000000000000003E-2</v>
      </c>
      <c r="E108" s="384">
        <f>((1+6.5%)/(1+D108))-1</f>
        <v>2.898550724637694E-2</v>
      </c>
      <c r="F108" s="264">
        <f>G107*E108</f>
        <v>88636.840999790365</v>
      </c>
      <c r="G108" s="267">
        <f>G107+F108+C108</f>
        <v>4146607.8554925444</v>
      </c>
    </row>
    <row r="109" spans="1:11" x14ac:dyDescent="0.25">
      <c r="B109" s="80">
        <v>3</v>
      </c>
      <c r="C109" s="29">
        <v>1000000</v>
      </c>
      <c r="D109" s="384">
        <v>3.5000000000000003E-2</v>
      </c>
      <c r="E109" s="384">
        <f>((1+6.5%)/(1+D109))-1</f>
        <v>2.898550724637694E-2</v>
      </c>
      <c r="F109" s="264">
        <f>G108*E109</f>
        <v>120191.53204326269</v>
      </c>
      <c r="G109" s="267">
        <f>G108+F109+C109</f>
        <v>5266799.3875358067</v>
      </c>
    </row>
    <row r="110" spans="1:11" x14ac:dyDescent="0.25">
      <c r="B110" s="80">
        <v>4</v>
      </c>
      <c r="C110" s="29">
        <v>1000000</v>
      </c>
      <c r="D110" s="384">
        <v>3.5000000000000003E-2</v>
      </c>
      <c r="E110" s="384">
        <f>((1+6.5%)/(1+D110))-1</f>
        <v>2.898550724637694E-2</v>
      </c>
      <c r="F110" s="264">
        <f>G109*E110</f>
        <v>152660.85181263275</v>
      </c>
      <c r="G110" s="267">
        <f>G109+F110+C110</f>
        <v>6419460.2393484395</v>
      </c>
    </row>
    <row r="111" spans="1:11" x14ac:dyDescent="0.25">
      <c r="B111" s="80">
        <v>5</v>
      </c>
      <c r="C111" s="29">
        <v>1000000</v>
      </c>
      <c r="D111" s="384">
        <v>3.5000000000000003E-2</v>
      </c>
      <c r="E111" s="384">
        <f>((1+6.5%)/(1+D111))-1</f>
        <v>2.898550724637694E-2</v>
      </c>
      <c r="F111" s="264">
        <f>G110*E111</f>
        <v>186071.31128546284</v>
      </c>
      <c r="G111" s="267">
        <f>G110+F111+C111</f>
        <v>7605531.5506339027</v>
      </c>
    </row>
    <row r="112" spans="1:11" x14ac:dyDescent="0.25">
      <c r="B112" s="80">
        <v>6</v>
      </c>
      <c r="C112" s="80"/>
      <c r="D112" s="384">
        <v>3.5000000000000003E-2</v>
      </c>
      <c r="E112" s="384">
        <f>((1+6.5%)/(1+D112))-1</f>
        <v>2.898550724637694E-2</v>
      </c>
      <c r="F112" s="264">
        <f>G111*E112</f>
        <v>220450.18987344744</v>
      </c>
      <c r="G112" s="267">
        <f>G111+F112+C112</f>
        <v>7825981.7405073503</v>
      </c>
    </row>
    <row r="113" spans="2:7" x14ac:dyDescent="0.25">
      <c r="B113" s="80">
        <v>7</v>
      </c>
      <c r="C113" s="80"/>
      <c r="D113" s="384">
        <v>3.5000000000000003E-2</v>
      </c>
      <c r="E113" s="384">
        <f>((1+6.5%)/(1+D113))-1</f>
        <v>2.898550724637694E-2</v>
      </c>
      <c r="F113" s="264">
        <f>G112*E113</f>
        <v>226840.05044948941</v>
      </c>
      <c r="G113" s="267">
        <f>G112+F113+C113</f>
        <v>8052821.7909568399</v>
      </c>
    </row>
    <row r="114" spans="2:7" x14ac:dyDescent="0.25">
      <c r="B114" s="80">
        <v>8</v>
      </c>
      <c r="C114" s="80"/>
      <c r="D114" s="384">
        <v>3.5000000000000003E-2</v>
      </c>
      <c r="E114" s="384">
        <f>((1+6.5%)/(1+D114))-1</f>
        <v>2.898550724637694E-2</v>
      </c>
      <c r="F114" s="264">
        <f>G113*E114</f>
        <v>233415.1243755616</v>
      </c>
      <c r="G114" s="267">
        <f>G113+F114+C114</f>
        <v>8286236.9153324012</v>
      </c>
    </row>
    <row r="115" spans="2:7" x14ac:dyDescent="0.25">
      <c r="B115" s="80">
        <v>9</v>
      </c>
      <c r="C115" s="80"/>
      <c r="D115" s="384">
        <v>3.5000000000000003E-2</v>
      </c>
      <c r="E115" s="384">
        <f>((1+6.5%)/(1+D115))-1</f>
        <v>2.898550724637694E-2</v>
      </c>
      <c r="F115" s="264">
        <f>G114*E115</f>
        <v>240180.78015456343</v>
      </c>
      <c r="G115" s="267">
        <f>G114+F115+C115</f>
        <v>8526417.6954869647</v>
      </c>
    </row>
    <row r="116" spans="2:7" x14ac:dyDescent="0.25">
      <c r="B116" s="80">
        <v>10</v>
      </c>
      <c r="C116" s="80"/>
      <c r="D116" s="384">
        <v>3.5000000000000003E-2</v>
      </c>
      <c r="E116" s="384">
        <f>((1+6.5%)/(1+D116))-1</f>
        <v>2.898550724637694E-2</v>
      </c>
      <c r="F116" s="264">
        <f>G115*E116</f>
        <v>247142.54189817398</v>
      </c>
      <c r="G116" s="267">
        <f>G115+F116+C116</f>
        <v>8773560.2373851389</v>
      </c>
    </row>
    <row r="117" spans="2:7" x14ac:dyDescent="0.25">
      <c r="B117" s="80">
        <v>11</v>
      </c>
      <c r="C117" s="80"/>
      <c r="D117" s="215">
        <v>0.04</v>
      </c>
      <c r="E117" s="384">
        <f>((1+6.5%)/(1+D117))-1</f>
        <v>2.4038461538461453E-2</v>
      </c>
      <c r="F117" s="264">
        <f>G116*E117</f>
        <v>210902.89032175738</v>
      </c>
      <c r="G117" s="267">
        <f>G116+F117+C117</f>
        <v>8984463.1277068965</v>
      </c>
    </row>
    <row r="118" spans="2:7" x14ac:dyDescent="0.25">
      <c r="B118" s="80">
        <v>12</v>
      </c>
      <c r="C118" s="80"/>
      <c r="D118" s="215">
        <v>0.04</v>
      </c>
      <c r="E118" s="384">
        <f>((1+6.5%)/(1+D118))-1</f>
        <v>2.4038461538461453E-2</v>
      </c>
      <c r="F118" s="264">
        <f>G117*E118</f>
        <v>215972.67133910733</v>
      </c>
      <c r="G118" s="267">
        <f>G117+F118+C118</f>
        <v>9200435.7990460042</v>
      </c>
    </row>
    <row r="119" spans="2:7" x14ac:dyDescent="0.25">
      <c r="B119" s="80">
        <v>13</v>
      </c>
      <c r="C119" s="80"/>
      <c r="D119" s="215">
        <v>0.04</v>
      </c>
      <c r="E119" s="384">
        <f>((1+6.5%)/(1+D119))-1</f>
        <v>2.4038461538461453E-2</v>
      </c>
      <c r="F119" s="264">
        <f>G118*E119</f>
        <v>221164.32209245124</v>
      </c>
      <c r="G119" s="267">
        <f>G118+F119+C119</f>
        <v>9421600.1211384553</v>
      </c>
    </row>
    <row r="120" spans="2:7" x14ac:dyDescent="0.25">
      <c r="B120" s="80">
        <v>14</v>
      </c>
      <c r="C120" s="80"/>
      <c r="D120" s="215">
        <v>0.04</v>
      </c>
      <c r="E120" s="384">
        <f>((1+6.5%)/(1+D120))-1</f>
        <v>2.4038461538461453E-2</v>
      </c>
      <c r="F120" s="264">
        <f>G119*E120</f>
        <v>226480.77214275053</v>
      </c>
      <c r="G120" s="267">
        <f>G119+F120+C120</f>
        <v>9648080.8932812065</v>
      </c>
    </row>
    <row r="121" spans="2:7" x14ac:dyDescent="0.25">
      <c r="B121" s="80">
        <v>15</v>
      </c>
      <c r="C121" s="80"/>
      <c r="D121" s="215">
        <v>0.04</v>
      </c>
      <c r="E121" s="384">
        <f>((1+6.5%)/(1+D121))-1</f>
        <v>2.4038461538461453E-2</v>
      </c>
      <c r="F121" s="264">
        <f>G120*E121</f>
        <v>231925.02147310509</v>
      </c>
      <c r="G121" s="267">
        <f>G120+F121+C121</f>
        <v>9880005.9147543125</v>
      </c>
    </row>
    <row r="122" spans="2:7" x14ac:dyDescent="0.25">
      <c r="B122" s="80">
        <v>16</v>
      </c>
      <c r="C122" s="80"/>
      <c r="D122" s="215">
        <v>0.04</v>
      </c>
      <c r="E122" s="384">
        <f>((1+6.5%)/(1+D122))-1</f>
        <v>2.4038461538461453E-2</v>
      </c>
      <c r="F122" s="264">
        <f>G121*E122</f>
        <v>237500.1421815932</v>
      </c>
      <c r="G122" s="267">
        <f>G121+F122+C122</f>
        <v>10117506.056935906</v>
      </c>
    </row>
    <row r="123" spans="2:7" x14ac:dyDescent="0.25">
      <c r="B123" s="80">
        <v>17</v>
      </c>
      <c r="C123" s="80"/>
      <c r="D123" s="215">
        <v>0.04</v>
      </c>
      <c r="E123" s="384">
        <f>((1+6.5%)/(1+D123))-1</f>
        <v>2.4038461538461453E-2</v>
      </c>
      <c r="F123" s="264">
        <f>G122*E123</f>
        <v>243209.28021480457</v>
      </c>
      <c r="G123" s="267">
        <f>G122+F123+C123</f>
        <v>10360715.337150712</v>
      </c>
    </row>
    <row r="124" spans="2:7" x14ac:dyDescent="0.25">
      <c r="B124" s="80">
        <v>18</v>
      </c>
      <c r="C124" s="80"/>
      <c r="D124" s="215">
        <v>0.04</v>
      </c>
      <c r="E124" s="384">
        <f>((1+6.5%)/(1+D124))-1</f>
        <v>2.4038461538461453E-2</v>
      </c>
      <c r="F124" s="264">
        <f>G123*E124</f>
        <v>249055.65714304507</v>
      </c>
      <c r="G124" s="267">
        <f>G123+F124+C124</f>
        <v>10609770.994293757</v>
      </c>
    </row>
    <row r="125" spans="2:7" x14ac:dyDescent="0.25">
      <c r="B125" s="80">
        <v>19</v>
      </c>
      <c r="C125" s="80"/>
      <c r="D125" s="215">
        <v>0.04</v>
      </c>
      <c r="E125" s="384">
        <f>((1+6.5%)/(1+D125))-1</f>
        <v>2.4038461538461453E-2</v>
      </c>
      <c r="F125" s="264">
        <f>G124*E125</f>
        <v>255042.5719782144</v>
      </c>
      <c r="G125" s="267">
        <f>G124+F125+C125</f>
        <v>10864813.566271972</v>
      </c>
    </row>
    <row r="126" spans="2:7" x14ac:dyDescent="0.25">
      <c r="B126" s="80">
        <v>20</v>
      </c>
      <c r="C126" s="80"/>
      <c r="D126" s="215">
        <v>0.04</v>
      </c>
      <c r="E126" s="384">
        <f>((1+6.5%)/(1+D126))-1</f>
        <v>2.4038461538461453E-2</v>
      </c>
      <c r="F126" s="264">
        <f>G125*E126</f>
        <v>261173.403035383</v>
      </c>
      <c r="G126" s="267">
        <f>G125+F126+C126</f>
        <v>11125986.969307356</v>
      </c>
    </row>
    <row r="127" spans="2:7" x14ac:dyDescent="0.25">
      <c r="B127" s="80">
        <v>21</v>
      </c>
      <c r="C127" s="80"/>
      <c r="D127" s="215">
        <v>7.0000000000000007E-2</v>
      </c>
      <c r="E127" s="384">
        <f>((1+6.5%)/(1+D127))-1</f>
        <v>-4.6728971962617383E-3</v>
      </c>
      <c r="F127" s="264">
        <f>G126*E127</f>
        <v>-51990.593314520978</v>
      </c>
      <c r="G127" s="267">
        <f>G126+F127+C127</f>
        <v>11073996.375992835</v>
      </c>
    </row>
    <row r="128" spans="2:7" x14ac:dyDescent="0.25">
      <c r="B128" s="80">
        <v>22</v>
      </c>
      <c r="C128" s="80"/>
      <c r="D128" s="215">
        <v>7.0000000000000007E-2</v>
      </c>
      <c r="E128" s="384">
        <f>((1+6.5%)/(1+D128))-1</f>
        <v>-4.6728971962617383E-3</v>
      </c>
      <c r="F128" s="264">
        <f>G127*E128</f>
        <v>-51747.646616789571</v>
      </c>
      <c r="G128" s="267">
        <f>G127+F128+C128</f>
        <v>11022248.729376044</v>
      </c>
    </row>
    <row r="129" spans="2:7" x14ac:dyDescent="0.25">
      <c r="B129" s="80">
        <v>23</v>
      </c>
      <c r="C129" s="80"/>
      <c r="D129" s="215">
        <v>7.0000000000000007E-2</v>
      </c>
      <c r="E129" s="384">
        <f>((1+6.5%)/(1+D129))-1</f>
        <v>-4.6728971962617383E-3</v>
      </c>
      <c r="F129" s="264">
        <f>G128*E129</f>
        <v>-51505.835184000825</v>
      </c>
      <c r="G129" s="267">
        <f>G128+F129+C129</f>
        <v>10970742.894192044</v>
      </c>
    </row>
    <row r="130" spans="2:7" x14ac:dyDescent="0.25">
      <c r="B130" s="80">
        <v>24</v>
      </c>
      <c r="C130" s="80"/>
      <c r="D130" s="215">
        <v>7.0000000000000007E-2</v>
      </c>
      <c r="E130" s="384">
        <f>((1+6.5%)/(1+D130))-1</f>
        <v>-4.6728971962617383E-3</v>
      </c>
      <c r="F130" s="264">
        <f>G129*E130</f>
        <v>-51265.153711178391</v>
      </c>
      <c r="G130" s="267">
        <f>G129+F130+C130</f>
        <v>10919477.740480864</v>
      </c>
    </row>
    <row r="131" spans="2:7" x14ac:dyDescent="0.25">
      <c r="B131" s="80">
        <v>25</v>
      </c>
      <c r="C131" s="80"/>
      <c r="D131" s="215">
        <v>7.0000000000000007E-2</v>
      </c>
      <c r="E131" s="384">
        <f>((1+6.5%)/(1+D131))-1</f>
        <v>-4.6728971962617383E-3</v>
      </c>
      <c r="F131" s="264">
        <f>G130*E131</f>
        <v>-51025.596918135496</v>
      </c>
      <c r="G131" s="267">
        <f>G130+F131+C131</f>
        <v>10868452.143562729</v>
      </c>
    </row>
    <row r="132" spans="2:7" x14ac:dyDescent="0.25">
      <c r="B132" s="80">
        <v>26</v>
      </c>
      <c r="C132" s="80"/>
      <c r="D132" s="215">
        <v>7.0000000000000007E-2</v>
      </c>
      <c r="E132" s="384">
        <f>((1+6.5%)/(1+D132))-1</f>
        <v>-4.6728971962617383E-3</v>
      </c>
      <c r="F132" s="264">
        <f>G131*E132</f>
        <v>-50787.159549359152</v>
      </c>
      <c r="G132" s="267">
        <f>G131+F132+C132</f>
        <v>10817664.984013369</v>
      </c>
    </row>
    <row r="133" spans="2:7" x14ac:dyDescent="0.25">
      <c r="B133" s="80">
        <v>27</v>
      </c>
      <c r="C133" s="80"/>
      <c r="D133" s="215">
        <v>7.0000000000000007E-2</v>
      </c>
      <c r="E133" s="384">
        <f>((1+6.5%)/(1+D133))-1</f>
        <v>-4.6728971962617383E-3</v>
      </c>
      <c r="F133" s="264">
        <f>G132*E133</f>
        <v>-50549.836373894854</v>
      </c>
      <c r="G133" s="267">
        <f>G132+F133+C133</f>
        <v>10767115.147639474</v>
      </c>
    </row>
    <row r="134" spans="2:7" x14ac:dyDescent="0.25">
      <c r="B134" s="80">
        <v>28</v>
      </c>
      <c r="C134" s="80"/>
      <c r="D134" s="215">
        <v>7.0000000000000007E-2</v>
      </c>
      <c r="E134" s="384">
        <f>((1+6.5%)/(1+D134))-1</f>
        <v>-4.6728971962617383E-3</v>
      </c>
      <c r="F134" s="264">
        <f>G133*E134</f>
        <v>-50313.62218523179</v>
      </c>
      <c r="G134" s="267">
        <f>G133+F134+C134</f>
        <v>10716801.525454242</v>
      </c>
    </row>
    <row r="135" spans="2:7" x14ac:dyDescent="0.25">
      <c r="B135" s="80">
        <v>29</v>
      </c>
      <c r="C135" s="80"/>
      <c r="D135" s="215">
        <v>7.0000000000000007E-2</v>
      </c>
      <c r="E135" s="384">
        <f>((1+6.5%)/(1+D135))-1</f>
        <v>-4.6728971962617383E-3</v>
      </c>
      <c r="F135" s="264">
        <f>G134*E135</f>
        <v>-50078.511801188644</v>
      </c>
      <c r="G135" s="267">
        <f>G134+F135+C135</f>
        <v>10666723.013653053</v>
      </c>
    </row>
    <row r="136" spans="2:7" x14ac:dyDescent="0.25">
      <c r="B136" s="80">
        <v>30</v>
      </c>
      <c r="C136" s="80"/>
      <c r="D136" s="215">
        <v>7.0000000000000007E-2</v>
      </c>
      <c r="E136" s="384">
        <f>((1+6.5%)/(1+D136))-1</f>
        <v>-4.6728971962617383E-3</v>
      </c>
      <c r="F136" s="264">
        <f>G135*E136</f>
        <v>-49844.500063799911</v>
      </c>
      <c r="G136" s="267">
        <f>G135+F136+C136</f>
        <v>10616878.513589254</v>
      </c>
    </row>
    <row r="137" spans="2:7" x14ac:dyDescent="0.25">
      <c r="B137" s="80">
        <v>31</v>
      </c>
      <c r="C137" s="80"/>
      <c r="D137" s="215">
        <v>7.0000000000000007E-2</v>
      </c>
      <c r="E137" s="384">
        <f>((1+6.5%)/(1+D137))-1</f>
        <v>-4.6728971962617383E-3</v>
      </c>
      <c r="F137" s="264">
        <f>G136*E137</f>
        <v>-49611.581839202714</v>
      </c>
      <c r="G137" s="267">
        <f>G136+F137+C137</f>
        <v>10567266.931750052</v>
      </c>
    </row>
    <row r="138" spans="2:7" x14ac:dyDescent="0.25">
      <c r="B138" s="80">
        <v>32</v>
      </c>
      <c r="C138" s="80"/>
      <c r="D138" s="215">
        <v>7.0000000000000007E-2</v>
      </c>
      <c r="E138" s="384">
        <f>((1+6.5%)/(1+D138))-1</f>
        <v>-4.6728971962617383E-3</v>
      </c>
      <c r="F138" s="264">
        <f>G137*E138</f>
        <v>-49379.752017524195</v>
      </c>
      <c r="G138" s="267">
        <f>G137+F138+C138</f>
        <v>10517887.179732528</v>
      </c>
    </row>
    <row r="139" spans="2:7" x14ac:dyDescent="0.25">
      <c r="B139" s="80">
        <v>33</v>
      </c>
      <c r="C139" s="80"/>
      <c r="D139" s="215">
        <v>7.0000000000000007E-2</v>
      </c>
      <c r="E139" s="384">
        <f>((1+6.5%)/(1+D139))-1</f>
        <v>-4.6728971962617383E-3</v>
      </c>
      <c r="F139" s="264">
        <f>G138*E139</f>
        <v>-49149.005512769407</v>
      </c>
      <c r="G139" s="267">
        <f>G138+F139+C139</f>
        <v>10468738.174219757</v>
      </c>
    </row>
    <row r="140" spans="2:7" x14ac:dyDescent="0.25">
      <c r="B140" s="80">
        <v>34</v>
      </c>
      <c r="C140" s="80"/>
      <c r="D140" s="215">
        <v>7.0000000000000007E-2</v>
      </c>
      <c r="E140" s="384">
        <f>((1+6.5%)/(1+D140))-1</f>
        <v>-4.6728971962617383E-3</v>
      </c>
      <c r="F140" s="264">
        <f>G139*E140</f>
        <v>-48919.337262709734</v>
      </c>
      <c r="G140" s="267">
        <f>G139+F140+C140</f>
        <v>10419818.836957047</v>
      </c>
    </row>
    <row r="141" spans="2:7" x14ac:dyDescent="0.25">
      <c r="B141" s="80">
        <v>35</v>
      </c>
      <c r="C141" s="80"/>
      <c r="D141" s="215">
        <v>7.0000000000000007E-2</v>
      </c>
      <c r="E141" s="384">
        <f>((1+6.5%)/(1+D141))-1</f>
        <v>-4.6728971962617383E-3</v>
      </c>
      <c r="F141" s="264">
        <f>G140*E141</f>
        <v>-48690.742228771829</v>
      </c>
      <c r="G141" s="267">
        <f>G140+F141+C141</f>
        <v>10371128.094728274</v>
      </c>
    </row>
    <row r="142" spans="2:7" x14ac:dyDescent="0.25">
      <c r="B142" s="80">
        <v>36</v>
      </c>
      <c r="C142" s="80"/>
      <c r="D142" s="215">
        <v>7.0000000000000007E-2</v>
      </c>
      <c r="E142" s="384">
        <f>((1+6.5%)/(1+D142))-1</f>
        <v>-4.6728971962617383E-3</v>
      </c>
      <c r="F142" s="264">
        <f>G141*E142</f>
        <v>-48463.215395927095</v>
      </c>
      <c r="G142" s="267">
        <f>G141+F142+C142</f>
        <v>10322664.879332347</v>
      </c>
    </row>
    <row r="143" spans="2:7" x14ac:dyDescent="0.25">
      <c r="B143" s="80">
        <v>37</v>
      </c>
      <c r="C143" s="80"/>
      <c r="D143" s="215">
        <v>7.0000000000000007E-2</v>
      </c>
      <c r="E143" s="384">
        <f>((1+6.5%)/(1+D143))-1</f>
        <v>-4.6728971962617383E-3</v>
      </c>
      <c r="F143" s="264">
        <f>G142*E143</f>
        <v>-48236.751772581636</v>
      </c>
      <c r="G143" s="267">
        <f>G142+F143+C143</f>
        <v>10274428.127559764</v>
      </c>
    </row>
    <row r="144" spans="2:7" x14ac:dyDescent="0.25">
      <c r="B144" s="80">
        <v>38</v>
      </c>
      <c r="C144" s="80"/>
      <c r="D144" s="215">
        <v>7.0000000000000007E-2</v>
      </c>
      <c r="E144" s="384">
        <f>((1+6.5%)/(1+D144))-1</f>
        <v>-4.6728971962617383E-3</v>
      </c>
      <c r="F144" s="264">
        <f>G143*E144</f>
        <v>-48011.346390466766</v>
      </c>
      <c r="G144" s="267">
        <f>G143+F144+C144</f>
        <v>10226416.781169297</v>
      </c>
    </row>
    <row r="145" spans="2:7" x14ac:dyDescent="0.25">
      <c r="B145" s="80">
        <v>39</v>
      </c>
      <c r="C145" s="80"/>
      <c r="D145" s="215">
        <v>7.0000000000000007E-2</v>
      </c>
      <c r="E145" s="384">
        <f>((1+6.5%)/(1+D145))-1</f>
        <v>-4.6728971962617383E-3</v>
      </c>
      <c r="F145" s="264">
        <f>G144*E145</f>
        <v>-47786.994304530002</v>
      </c>
      <c r="G145" s="267">
        <f>G144+F145+C145</f>
        <v>10178629.786864767</v>
      </c>
    </row>
    <row r="146" spans="2:7" x14ac:dyDescent="0.25">
      <c r="B146" s="80">
        <v>40</v>
      </c>
      <c r="C146" s="80"/>
      <c r="D146" s="215">
        <v>7.0000000000000007E-2</v>
      </c>
      <c r="E146" s="384">
        <f>((1+6.5%)/(1+D146))-1</f>
        <v>-4.6728971962617383E-3</v>
      </c>
      <c r="F146" s="264">
        <f>G145*E146</f>
        <v>-47563.690592826584</v>
      </c>
      <c r="G146" s="267">
        <f>G145+F146+C146</f>
        <v>10131066.09627194</v>
      </c>
    </row>
    <row r="147" spans="2:7" x14ac:dyDescent="0.25">
      <c r="B147" s="80">
        <v>41</v>
      </c>
      <c r="C147" s="80"/>
      <c r="D147" s="215">
        <v>0.08</v>
      </c>
      <c r="E147" s="384">
        <f>((1+6.5%)/(1+D147))-1</f>
        <v>-1.3888888888888951E-2</v>
      </c>
      <c r="F147" s="264">
        <f>G146*E147</f>
        <v>-140709.25133711091</v>
      </c>
      <c r="G147" s="267">
        <f>G146+F147+C147</f>
        <v>9990356.8449348286</v>
      </c>
    </row>
    <row r="148" spans="2:7" x14ac:dyDescent="0.25">
      <c r="B148" s="80">
        <v>42</v>
      </c>
      <c r="C148" s="80"/>
      <c r="D148" s="215">
        <v>0.08</v>
      </c>
      <c r="E148" s="384">
        <f>((1+6.5%)/(1+D148))-1</f>
        <v>-1.3888888888888951E-2</v>
      </c>
      <c r="F148" s="264">
        <f>G147*E148</f>
        <v>-138754.95617965102</v>
      </c>
      <c r="G148" s="267">
        <f>G147+F148+C148</f>
        <v>9851601.8887551781</v>
      </c>
    </row>
    <row r="149" spans="2:7" x14ac:dyDescent="0.25">
      <c r="B149" s="80">
        <v>43</v>
      </c>
      <c r="C149" s="80"/>
      <c r="D149" s="215">
        <v>0.08</v>
      </c>
      <c r="E149" s="384">
        <f>((1+6.5%)/(1+D149))-1</f>
        <v>-1.3888888888888951E-2</v>
      </c>
      <c r="F149" s="264">
        <f>G148*E149</f>
        <v>-136827.8040104892</v>
      </c>
      <c r="G149" s="267">
        <f>G148+F149+C149</f>
        <v>9714774.0847446881</v>
      </c>
    </row>
    <row r="150" spans="2:7" x14ac:dyDescent="0.25">
      <c r="B150" s="80">
        <v>44</v>
      </c>
      <c r="C150" s="80"/>
      <c r="D150" s="215">
        <v>0.08</v>
      </c>
      <c r="E150" s="384">
        <f>((1+6.5%)/(1+D150))-1</f>
        <v>-1.3888888888888951E-2</v>
      </c>
      <c r="F150" s="264">
        <f>G149*E150</f>
        <v>-134927.41784367681</v>
      </c>
      <c r="G150" s="267">
        <f>G149+F150+C150</f>
        <v>9579846.666901011</v>
      </c>
    </row>
    <row r="151" spans="2:7" x14ac:dyDescent="0.25">
      <c r="B151" s="80">
        <v>45</v>
      </c>
      <c r="C151" s="80"/>
      <c r="D151" s="215">
        <v>0.08</v>
      </c>
      <c r="E151" s="384">
        <f>((1+6.5%)/(1+D151))-1</f>
        <v>-1.3888888888888951E-2</v>
      </c>
      <c r="F151" s="264">
        <f>G150*E151</f>
        <v>-133053.42592918131</v>
      </c>
      <c r="G151" s="267">
        <f>G150+F151+C151</f>
        <v>9446793.2409718297</v>
      </c>
    </row>
    <row r="152" spans="2:7" x14ac:dyDescent="0.25">
      <c r="B152" s="80">
        <v>46</v>
      </c>
      <c r="C152" s="80"/>
      <c r="D152" s="215">
        <v>0.08</v>
      </c>
      <c r="E152" s="384">
        <f>((1+6.5%)/(1+D152))-1</f>
        <v>-1.3888888888888951E-2</v>
      </c>
      <c r="F152" s="264">
        <f>G151*E152</f>
        <v>-131205.46168016488</v>
      </c>
      <c r="G152" s="267">
        <f>G151+F152+C152</f>
        <v>9315587.7792916652</v>
      </c>
    </row>
    <row r="153" spans="2:7" x14ac:dyDescent="0.25">
      <c r="B153" s="80">
        <v>47</v>
      </c>
      <c r="C153" s="80"/>
      <c r="D153" s="215">
        <v>0.08</v>
      </c>
      <c r="E153" s="384">
        <f>((1+6.5%)/(1+D153))-1</f>
        <v>-1.3888888888888951E-2</v>
      </c>
      <c r="F153" s="264">
        <f>G152*E153</f>
        <v>-129383.1636012737</v>
      </c>
      <c r="G153" s="267">
        <f>G152+F153+C153</f>
        <v>9186204.6156903915</v>
      </c>
    </row>
    <row r="154" spans="2:7" x14ac:dyDescent="0.25">
      <c r="B154" s="80">
        <v>48</v>
      </c>
      <c r="C154" s="80"/>
      <c r="D154" s="215">
        <v>0.08</v>
      </c>
      <c r="E154" s="384">
        <f>((1+6.5%)/(1+D154))-1</f>
        <v>-1.3888888888888951E-2</v>
      </c>
      <c r="F154" s="264">
        <f>G153*E154</f>
        <v>-127586.17521792268</v>
      </c>
      <c r="G154" s="267">
        <f>G153+F154+C154</f>
        <v>9058618.4404724687</v>
      </c>
    </row>
    <row r="155" spans="2:7" x14ac:dyDescent="0.25">
      <c r="B155" s="80">
        <v>49</v>
      </c>
      <c r="C155" s="80"/>
      <c r="D155" s="215">
        <v>0.08</v>
      </c>
      <c r="E155" s="384">
        <f>((1+6.5%)/(1+D155))-1</f>
        <v>-1.3888888888888951E-2</v>
      </c>
      <c r="F155" s="264">
        <f>G154*E155</f>
        <v>-125814.14500656263</v>
      </c>
      <c r="G155" s="267">
        <f>G154+F155+C155</f>
        <v>8932804.2954659052</v>
      </c>
    </row>
    <row r="156" spans="2:7" x14ac:dyDescent="0.25">
      <c r="B156" s="80">
        <v>50</v>
      </c>
      <c r="C156" s="80"/>
      <c r="D156" s="215">
        <v>0.08</v>
      </c>
      <c r="E156" s="384">
        <f>((1+6.5%)/(1+D156))-1</f>
        <v>-1.3888888888888951E-2</v>
      </c>
      <c r="F156" s="264">
        <f>G155*E156</f>
        <v>-124066.72632591591</v>
      </c>
      <c r="G156" s="267">
        <f>G155+F156+C156</f>
        <v>8808737.5691399891</v>
      </c>
    </row>
    <row r="157" spans="2:7" x14ac:dyDescent="0.25">
      <c r="B157" s="80">
        <v>51</v>
      </c>
      <c r="C157" s="80"/>
      <c r="D157" s="215">
        <v>0.08</v>
      </c>
      <c r="E157" s="384">
        <f>((1+6.5%)/(1+D157))-1</f>
        <v>-1.3888888888888951E-2</v>
      </c>
      <c r="F157" s="264">
        <f>G156*E157</f>
        <v>-122343.57734916706</v>
      </c>
      <c r="G157" s="267">
        <f>G156+F157+C157</f>
        <v>8686393.9917908218</v>
      </c>
    </row>
    <row r="158" spans="2:7" x14ac:dyDescent="0.25">
      <c r="B158" s="80">
        <v>52</v>
      </c>
      <c r="C158" s="80"/>
      <c r="D158" s="215">
        <v>0.08</v>
      </c>
      <c r="E158" s="384">
        <f>((1+6.5%)/(1+D158))-1</f>
        <v>-1.3888888888888951E-2</v>
      </c>
      <c r="F158" s="264">
        <f>G157*E158</f>
        <v>-120644.36099709528</v>
      </c>
      <c r="G158" s="267">
        <f>G157+F158+C158</f>
        <v>8565749.6307937261</v>
      </c>
    </row>
    <row r="159" spans="2:7" x14ac:dyDescent="0.25">
      <c r="B159" s="80">
        <v>53</v>
      </c>
      <c r="C159" s="80"/>
      <c r="D159" s="215">
        <v>0.08</v>
      </c>
      <c r="E159" s="384">
        <f>((1+6.5%)/(1+D159))-1</f>
        <v>-1.3888888888888951E-2</v>
      </c>
      <c r="F159" s="264">
        <f>G158*E159</f>
        <v>-118968.74487213562</v>
      </c>
      <c r="G159" s="267">
        <f>G158+F159+C159</f>
        <v>8446780.88592159</v>
      </c>
    </row>
    <row r="160" spans="2:7" x14ac:dyDescent="0.25">
      <c r="B160" s="80">
        <v>54</v>
      </c>
      <c r="C160" s="80"/>
      <c r="D160" s="215">
        <v>0.08</v>
      </c>
      <c r="E160" s="384">
        <f>((1+6.5%)/(1+D160))-1</f>
        <v>-1.3888888888888951E-2</v>
      </c>
      <c r="F160" s="264">
        <f>G159*E160</f>
        <v>-117316.40119335594</v>
      </c>
      <c r="G160" s="267">
        <f>G159+F160+C160</f>
        <v>8329464.4847282339</v>
      </c>
    </row>
    <row r="161" spans="2:7" x14ac:dyDescent="0.25">
      <c r="B161" s="80">
        <v>55</v>
      </c>
      <c r="C161" s="80"/>
      <c r="D161" s="215">
        <v>0.08</v>
      </c>
      <c r="E161" s="384">
        <f>((1+6.5%)/(1+D161))-1</f>
        <v>-1.3888888888888951E-2</v>
      </c>
      <c r="F161" s="264">
        <f>G160*E161</f>
        <v>-115687.00673233709</v>
      </c>
      <c r="G161" s="267">
        <f>G160+F161+C161</f>
        <v>8213777.4779958967</v>
      </c>
    </row>
    <row r="162" spans="2:7" x14ac:dyDescent="0.25">
      <c r="B162" s="80">
        <v>56</v>
      </c>
      <c r="C162" s="80"/>
      <c r="D162" s="215">
        <v>0.08</v>
      </c>
      <c r="E162" s="384">
        <f>((1+6.5%)/(1+D162))-1</f>
        <v>-1.3888888888888951E-2</v>
      </c>
      <c r="F162" s="264">
        <f>G161*E162</f>
        <v>-114080.24274994351</v>
      </c>
      <c r="G162" s="267">
        <f>G161+F162+C162</f>
        <v>8099697.2352459533</v>
      </c>
    </row>
    <row r="163" spans="2:7" x14ac:dyDescent="0.25">
      <c r="B163" s="80">
        <v>57</v>
      </c>
      <c r="C163" s="80"/>
      <c r="D163" s="215">
        <v>0.08</v>
      </c>
      <c r="E163" s="384">
        <f>((1+6.5%)/(1+D163))-1</f>
        <v>-1.3888888888888951E-2</v>
      </c>
      <c r="F163" s="264">
        <f>G162*E163</f>
        <v>-112495.79493397208</v>
      </c>
      <c r="G163" s="267">
        <f>G162+F163+C163</f>
        <v>7987201.4403119814</v>
      </c>
    </row>
    <row r="164" spans="2:7" x14ac:dyDescent="0.25">
      <c r="B164" s="80">
        <v>58</v>
      </c>
      <c r="C164" s="80"/>
      <c r="D164" s="215">
        <v>0.08</v>
      </c>
      <c r="E164" s="384">
        <f>((1+6.5%)/(1+D164))-1</f>
        <v>-1.3888888888888951E-2</v>
      </c>
      <c r="F164" s="264">
        <f>G163*E164</f>
        <v>-110933.35333766691</v>
      </c>
      <c r="G164" s="267">
        <f>G163+F164+C164</f>
        <v>7876268.0869743144</v>
      </c>
    </row>
    <row r="165" spans="2:7" x14ac:dyDescent="0.25">
      <c r="B165" s="80">
        <v>59</v>
      </c>
      <c r="C165" s="80"/>
      <c r="D165" s="215">
        <v>0.08</v>
      </c>
      <c r="E165" s="384">
        <f>((1+6.5%)/(1+D165))-1</f>
        <v>-1.3888888888888951E-2</v>
      </c>
      <c r="F165" s="264">
        <f>G164*E165</f>
        <v>-109392.61231908819</v>
      </c>
      <c r="G165" s="267">
        <f>G164+F165+C165</f>
        <v>7766875.4746552259</v>
      </c>
    </row>
    <row r="166" spans="2:7" x14ac:dyDescent="0.25">
      <c r="B166" s="80">
        <v>60</v>
      </c>
      <c r="C166" s="80"/>
      <c r="D166" s="215">
        <v>0.08</v>
      </c>
      <c r="E166" s="384">
        <f>((1+6.5%)/(1+D166))-1</f>
        <v>-1.3888888888888951E-2</v>
      </c>
      <c r="F166" s="264">
        <f>G165*E166</f>
        <v>-107873.27048132307</v>
      </c>
      <c r="G166" s="267">
        <f>G165+F166+C166</f>
        <v>7659002.204173903</v>
      </c>
    </row>
    <row r="167" spans="2:7" x14ac:dyDescent="0.25">
      <c r="B167" s="80">
        <v>61</v>
      </c>
      <c r="C167" s="80"/>
      <c r="D167" s="215">
        <v>0.08</v>
      </c>
      <c r="E167" s="384">
        <f>((1+6.5%)/(1+D167))-1</f>
        <v>-1.3888888888888951E-2</v>
      </c>
      <c r="F167" s="264">
        <f>G166*E167</f>
        <v>-106375.03061352691</v>
      </c>
      <c r="G167" s="267">
        <f>G166+F167+C167</f>
        <v>7552627.1735603763</v>
      </c>
    </row>
    <row r="168" spans="2:7" x14ac:dyDescent="0.25">
      <c r="B168" s="80">
        <v>62</v>
      </c>
      <c r="C168" s="80"/>
      <c r="D168" s="215">
        <v>0.08</v>
      </c>
      <c r="E168" s="384">
        <f>((1+6.5%)/(1+D168))-1</f>
        <v>-1.3888888888888951E-2</v>
      </c>
      <c r="F168" s="264">
        <f>G167*E168</f>
        <v>-104897.59963278347</v>
      </c>
      <c r="G168" s="267">
        <f>G167+F168+C168</f>
        <v>7447729.5739275925</v>
      </c>
    </row>
    <row r="169" spans="2:7" x14ac:dyDescent="0.25">
      <c r="B169" s="80">
        <v>63</v>
      </c>
      <c r="C169" s="80"/>
      <c r="D169" s="215">
        <v>0.08</v>
      </c>
      <c r="E169" s="384">
        <f>((1+6.5%)/(1+D169))-1</f>
        <v>-1.3888888888888951E-2</v>
      </c>
      <c r="F169" s="264">
        <f>G168*E169</f>
        <v>-103440.68852677257</v>
      </c>
      <c r="G169" s="267">
        <f>G168+F169+C169</f>
        <v>7344288.8854008196</v>
      </c>
    </row>
    <row r="170" spans="2:7" ht="15.75" thickBot="1" x14ac:dyDescent="0.3">
      <c r="B170" s="80">
        <v>64</v>
      </c>
      <c r="C170" s="80"/>
      <c r="D170" s="215">
        <v>0.08</v>
      </c>
      <c r="E170" s="384">
        <f>((1+6.5%)/(1+D170))-1</f>
        <v>-1.3888888888888951E-2</v>
      </c>
      <c r="F170" s="264">
        <f>G169*E170</f>
        <v>-102004.01229723406</v>
      </c>
      <c r="G170" s="385">
        <f>G169+F170+C170</f>
        <v>7242284.8731035851</v>
      </c>
    </row>
    <row r="171" spans="2:7" ht="15.75" thickBot="1" x14ac:dyDescent="0.3">
      <c r="B171" s="80">
        <v>65</v>
      </c>
      <c r="C171" s="80"/>
      <c r="D171" s="215">
        <v>0.08</v>
      </c>
      <c r="E171" s="384">
        <f>((1+6.5%)/(1+D171))-1</f>
        <v>-1.3888888888888951E-2</v>
      </c>
      <c r="F171" s="264">
        <f>G170*E171</f>
        <v>-100587.2899042169</v>
      </c>
      <c r="G171" s="383">
        <f>G170+F171+C171</f>
        <v>7141697.5831993679</v>
      </c>
    </row>
  </sheetData>
  <mergeCells count="6">
    <mergeCell ref="A97:K101"/>
    <mergeCell ref="A1:N6"/>
    <mergeCell ref="A82:K82"/>
    <mergeCell ref="B84:H86"/>
    <mergeCell ref="A88:I88"/>
    <mergeCell ref="B90:H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F49" sqref="F49"/>
    </sheetView>
  </sheetViews>
  <sheetFormatPr baseColWidth="10" defaultRowHeight="15" x14ac:dyDescent="0.25"/>
  <cols>
    <col min="4" max="4" width="12.140625" customWidth="1"/>
    <col min="5" max="5" width="12.5703125" customWidth="1"/>
  </cols>
  <sheetData>
    <row r="3" spans="1:14" ht="15.75" x14ac:dyDescent="0.25">
      <c r="A3" s="21" t="s">
        <v>33</v>
      </c>
      <c r="B3" s="175" t="s">
        <v>34</v>
      </c>
      <c r="C3" s="175"/>
      <c r="D3" s="175"/>
      <c r="E3" s="175"/>
      <c r="F3" s="175"/>
      <c r="G3" s="175"/>
      <c r="H3" s="175"/>
      <c r="I3" s="175"/>
      <c r="J3" s="175"/>
      <c r="K3" s="175"/>
      <c r="L3" s="175"/>
      <c r="M3" s="175"/>
      <c r="N3" s="175"/>
    </row>
    <row r="4" spans="1:14" x14ac:dyDescent="0.25">
      <c r="B4" t="s">
        <v>36</v>
      </c>
    </row>
    <row r="5" spans="1:14" ht="15.75" thickBot="1" x14ac:dyDescent="0.3"/>
    <row r="6" spans="1:14" ht="15.75" thickBot="1" x14ac:dyDescent="0.3">
      <c r="B6" s="186" t="s">
        <v>36</v>
      </c>
      <c r="C6" s="187"/>
      <c r="D6" s="103">
        <v>1000000</v>
      </c>
      <c r="F6" s="171" t="s">
        <v>40</v>
      </c>
      <c r="G6" s="172"/>
      <c r="H6" s="89">
        <v>1000000</v>
      </c>
    </row>
    <row r="7" spans="1:14" x14ac:dyDescent="0.25">
      <c r="I7" s="185" t="s">
        <v>39</v>
      </c>
      <c r="J7" s="165"/>
      <c r="K7" s="165"/>
      <c r="L7" s="165"/>
    </row>
    <row r="8" spans="1:14" ht="31.5" customHeight="1" x14ac:dyDescent="0.25">
      <c r="B8" s="91" t="s">
        <v>35</v>
      </c>
      <c r="C8" s="91" t="s">
        <v>13</v>
      </c>
      <c r="D8" s="92" t="s">
        <v>37</v>
      </c>
      <c r="E8" s="96" t="s">
        <v>35</v>
      </c>
      <c r="F8" s="96" t="s">
        <v>13</v>
      </c>
      <c r="G8" s="97" t="s">
        <v>38</v>
      </c>
      <c r="I8" s="165"/>
      <c r="J8" s="165"/>
      <c r="K8" s="165"/>
      <c r="L8" s="165"/>
    </row>
    <row r="9" spans="1:14" x14ac:dyDescent="0.25">
      <c r="B9" s="93">
        <v>1990</v>
      </c>
      <c r="C9" s="94">
        <v>0.32369999999999999</v>
      </c>
      <c r="D9" s="95">
        <v>1000000</v>
      </c>
      <c r="E9" s="98">
        <v>2019</v>
      </c>
      <c r="F9" s="99"/>
      <c r="G9" s="100">
        <v>1000000</v>
      </c>
      <c r="I9" s="165"/>
      <c r="J9" s="165"/>
      <c r="K9" s="165"/>
      <c r="L9" s="165"/>
    </row>
    <row r="10" spans="1:14" x14ac:dyDescent="0.25">
      <c r="B10" s="93">
        <v>1991</v>
      </c>
      <c r="C10" s="94">
        <v>0.26819999999999999</v>
      </c>
      <c r="D10" s="95">
        <f>$D$6*(1+C9)</f>
        <v>1323700</v>
      </c>
      <c r="E10" s="98">
        <v>2018</v>
      </c>
      <c r="F10" s="101">
        <v>3.1800000000000002E-2</v>
      </c>
      <c r="G10" s="100">
        <f>G9/(1+F10)</f>
        <v>969180.07365768554</v>
      </c>
    </row>
    <row r="11" spans="1:14" x14ac:dyDescent="0.25">
      <c r="B11" s="93">
        <v>1992</v>
      </c>
      <c r="C11" s="94">
        <v>0.25140000000000001</v>
      </c>
      <c r="D11" s="95">
        <f>D10*(1+C10)</f>
        <v>1678716.34</v>
      </c>
      <c r="E11" s="98">
        <v>2017</v>
      </c>
      <c r="F11" s="101">
        <v>4.0899999999999999E-2</v>
      </c>
      <c r="G11" s="100">
        <f>G10/(1+F11)</f>
        <v>931098.15895637008</v>
      </c>
    </row>
    <row r="12" spans="1:14" x14ac:dyDescent="0.25">
      <c r="B12" s="93">
        <v>1993</v>
      </c>
      <c r="C12" s="94">
        <v>0.2261</v>
      </c>
      <c r="D12" s="95">
        <f t="shared" ref="D12:D38" si="0">D11*(1+C11)</f>
        <v>2100745.627876</v>
      </c>
      <c r="E12" s="98">
        <v>2016</v>
      </c>
      <c r="F12" s="101">
        <v>5.7500000000000002E-2</v>
      </c>
      <c r="G12" s="100">
        <f t="shared" ref="G12:G38" si="1">G11/(1+F12)</f>
        <v>880471.07229916786</v>
      </c>
    </row>
    <row r="13" spans="1:14" x14ac:dyDescent="0.25">
      <c r="B13" s="93">
        <v>1994</v>
      </c>
      <c r="C13" s="94">
        <v>0.22600000000000001</v>
      </c>
      <c r="D13" s="95">
        <f t="shared" si="0"/>
        <v>2575724.2143387636</v>
      </c>
      <c r="E13" s="98">
        <v>2015</v>
      </c>
      <c r="F13" s="101">
        <v>6.7699999999999996E-2</v>
      </c>
      <c r="G13" s="100">
        <f t="shared" si="1"/>
        <v>824642.75760903605</v>
      </c>
    </row>
    <row r="14" spans="1:14" x14ac:dyDescent="0.25">
      <c r="B14" s="93">
        <v>1995</v>
      </c>
      <c r="C14" s="94">
        <v>0.19470000000000001</v>
      </c>
      <c r="D14" s="95">
        <f t="shared" si="0"/>
        <v>3157837.8867793242</v>
      </c>
      <c r="E14" s="98">
        <v>2014</v>
      </c>
      <c r="F14" s="101">
        <v>3.6600000000000001E-2</v>
      </c>
      <c r="G14" s="100">
        <f t="shared" si="1"/>
        <v>795526.48814300215</v>
      </c>
      <c r="I14" s="6">
        <v>0.32369999999999999</v>
      </c>
      <c r="J14" s="6">
        <v>0.26819999999999999</v>
      </c>
      <c r="K14" s="6">
        <v>5.7500000000000002E-2</v>
      </c>
      <c r="L14" s="6">
        <v>4.4900000000000002E-2</v>
      </c>
      <c r="M14" s="6">
        <v>3.1800000000000002E-2</v>
      </c>
    </row>
    <row r="15" spans="1:14" x14ac:dyDescent="0.25">
      <c r="B15" s="93">
        <v>1996</v>
      </c>
      <c r="C15" s="94">
        <v>0.21640000000000001</v>
      </c>
      <c r="D15" s="95">
        <f t="shared" si="0"/>
        <v>3772668.9233352588</v>
      </c>
      <c r="E15" s="98">
        <v>2013</v>
      </c>
      <c r="F15" s="101">
        <v>1.9400000000000001E-2</v>
      </c>
      <c r="G15" s="100">
        <f t="shared" si="1"/>
        <v>780386.98071709054</v>
      </c>
    </row>
    <row r="16" spans="1:14" x14ac:dyDescent="0.25">
      <c r="B16" s="93">
        <v>1997</v>
      </c>
      <c r="C16" s="94">
        <v>0.17680000000000001</v>
      </c>
      <c r="D16" s="95">
        <f t="shared" si="0"/>
        <v>4589074.4783450086</v>
      </c>
      <c r="E16" s="98">
        <v>2012</v>
      </c>
      <c r="F16" s="101">
        <v>3.44E-2</v>
      </c>
      <c r="G16" s="100">
        <f t="shared" si="1"/>
        <v>754434.43611474335</v>
      </c>
    </row>
    <row r="17" spans="2:15" ht="15" customHeight="1" x14ac:dyDescent="0.25">
      <c r="B17" s="93">
        <v>1998</v>
      </c>
      <c r="C17" s="94">
        <v>0.16700000000000001</v>
      </c>
      <c r="D17" s="95">
        <f t="shared" si="0"/>
        <v>5400422.8461164068</v>
      </c>
      <c r="E17" s="98">
        <v>2011</v>
      </c>
      <c r="F17" s="101">
        <v>3.73E-2</v>
      </c>
      <c r="G17" s="100">
        <f t="shared" si="1"/>
        <v>727305.92510820716</v>
      </c>
      <c r="I17" s="176" t="s">
        <v>145</v>
      </c>
      <c r="J17" s="176"/>
      <c r="K17" s="176"/>
      <c r="L17" s="42"/>
      <c r="M17" s="42"/>
      <c r="N17" s="42"/>
      <c r="O17" s="42"/>
    </row>
    <row r="18" spans="2:15" x14ac:dyDescent="0.25">
      <c r="B18" s="93">
        <v>1999</v>
      </c>
      <c r="C18" s="94">
        <v>9.2299999999999993E-2</v>
      </c>
      <c r="D18" s="95">
        <f t="shared" si="0"/>
        <v>6302293.4614178473</v>
      </c>
      <c r="E18" s="98">
        <v>2010</v>
      </c>
      <c r="F18" s="101">
        <v>3.1699999999999999E-2</v>
      </c>
      <c r="G18" s="100">
        <f t="shared" si="1"/>
        <v>704958.73326374637</v>
      </c>
      <c r="I18" s="176"/>
      <c r="J18" s="176"/>
      <c r="K18" s="176"/>
      <c r="L18" s="42"/>
      <c r="M18" s="42"/>
      <c r="N18" s="42"/>
      <c r="O18" s="42"/>
    </row>
    <row r="19" spans="2:15" x14ac:dyDescent="0.25">
      <c r="B19" s="93">
        <v>2000</v>
      </c>
      <c r="C19" s="94">
        <v>8.7499999999999994E-2</v>
      </c>
      <c r="D19" s="95">
        <f t="shared" si="0"/>
        <v>6883995.1479067151</v>
      </c>
      <c r="E19" s="98">
        <v>2009</v>
      </c>
      <c r="F19" s="101">
        <v>0.02</v>
      </c>
      <c r="G19" s="100">
        <f t="shared" si="1"/>
        <v>691136.01300367294</v>
      </c>
      <c r="I19" s="176"/>
      <c r="J19" s="176"/>
      <c r="K19" s="176"/>
      <c r="L19" s="42"/>
      <c r="M19" s="42"/>
      <c r="N19" s="42"/>
      <c r="O19" s="42"/>
    </row>
    <row r="20" spans="2:15" x14ac:dyDescent="0.25">
      <c r="B20" s="93">
        <v>2001</v>
      </c>
      <c r="C20" s="94">
        <v>7.6499999999999999E-2</v>
      </c>
      <c r="D20" s="95">
        <f t="shared" si="0"/>
        <v>7486344.7233485524</v>
      </c>
      <c r="E20" s="98">
        <v>2008</v>
      </c>
      <c r="F20" s="101">
        <v>7.6700000000000004E-2</v>
      </c>
      <c r="G20" s="100">
        <f t="shared" si="1"/>
        <v>641902.12037120177</v>
      </c>
      <c r="I20" s="176"/>
      <c r="J20" s="176"/>
      <c r="K20" s="176"/>
      <c r="L20" s="42"/>
      <c r="M20" s="42"/>
    </row>
    <row r="21" spans="2:15" x14ac:dyDescent="0.25">
      <c r="B21" s="93">
        <v>2002</v>
      </c>
      <c r="C21" s="94">
        <v>6.9900000000000004E-2</v>
      </c>
      <c r="D21" s="95">
        <f t="shared" si="0"/>
        <v>8059050.0946847163</v>
      </c>
      <c r="E21" s="98">
        <v>2007</v>
      </c>
      <c r="F21" s="101">
        <v>5.6899999999999999E-2</v>
      </c>
      <c r="G21" s="100">
        <f t="shared" si="1"/>
        <v>607344.23348585656</v>
      </c>
      <c r="I21" s="42"/>
      <c r="J21" s="42"/>
      <c r="K21" s="42"/>
      <c r="L21" s="42"/>
      <c r="M21" s="42"/>
    </row>
    <row r="22" spans="2:15" ht="15" customHeight="1" x14ac:dyDescent="0.25">
      <c r="B22" s="93">
        <v>2003</v>
      </c>
      <c r="C22" s="94">
        <v>6.4899999999999999E-2</v>
      </c>
      <c r="D22" s="95">
        <f t="shared" si="0"/>
        <v>8622377.6963031795</v>
      </c>
      <c r="E22" s="98">
        <v>2006</v>
      </c>
      <c r="F22" s="101">
        <v>4.48E-2</v>
      </c>
      <c r="G22" s="100">
        <f t="shared" si="1"/>
        <v>581301.9080071369</v>
      </c>
      <c r="I22" s="181" t="s">
        <v>146</v>
      </c>
      <c r="J22" s="181"/>
      <c r="K22" s="182">
        <f>D38-D9</f>
        <v>16472498.661705948</v>
      </c>
      <c r="M22" s="42"/>
    </row>
    <row r="23" spans="2:15" x14ac:dyDescent="0.25">
      <c r="B23" s="93">
        <v>2004</v>
      </c>
      <c r="C23" s="94">
        <v>5.5E-2</v>
      </c>
      <c r="D23" s="95">
        <f t="shared" si="0"/>
        <v>9181970.0087932553</v>
      </c>
      <c r="E23" s="98">
        <v>2005</v>
      </c>
      <c r="F23" s="101">
        <v>4.8500000000000001E-2</v>
      </c>
      <c r="G23" s="100">
        <f t="shared" si="1"/>
        <v>554412.88317323499</v>
      </c>
      <c r="I23" s="181"/>
      <c r="J23" s="181"/>
      <c r="K23" s="182"/>
      <c r="L23" s="42"/>
      <c r="M23" s="42"/>
    </row>
    <row r="24" spans="2:15" x14ac:dyDescent="0.25">
      <c r="B24" s="93">
        <v>2005</v>
      </c>
      <c r="C24" s="94">
        <v>4.8500000000000001E-2</v>
      </c>
      <c r="D24" s="95">
        <f t="shared" si="0"/>
        <v>9686978.3592768833</v>
      </c>
      <c r="E24" s="98">
        <v>2004</v>
      </c>
      <c r="F24" s="101">
        <v>5.5E-2</v>
      </c>
      <c r="G24" s="100">
        <f t="shared" si="1"/>
        <v>525509.84187036497</v>
      </c>
      <c r="I24" s="42"/>
      <c r="J24" s="42"/>
      <c r="K24" s="42"/>
      <c r="L24" s="42"/>
      <c r="M24" s="42"/>
      <c r="N24" s="42"/>
      <c r="O24" s="42"/>
    </row>
    <row r="25" spans="2:15" x14ac:dyDescent="0.25">
      <c r="B25" s="93">
        <v>2006</v>
      </c>
      <c r="C25" s="94">
        <v>4.48E-2</v>
      </c>
      <c r="D25" s="95">
        <f t="shared" si="0"/>
        <v>10156796.809701812</v>
      </c>
      <c r="E25" s="98">
        <v>2003</v>
      </c>
      <c r="F25" s="101">
        <v>6.4899999999999999E-2</v>
      </c>
      <c r="G25" s="100">
        <f t="shared" si="1"/>
        <v>493482.80765364354</v>
      </c>
      <c r="I25" s="181" t="s">
        <v>147</v>
      </c>
      <c r="J25" s="181"/>
      <c r="K25" s="183">
        <f>G9-G38</f>
        <v>942767.20122510719</v>
      </c>
      <c r="L25" s="42"/>
      <c r="M25" s="42"/>
      <c r="N25" s="42"/>
      <c r="O25" s="42"/>
    </row>
    <row r="26" spans="2:15" x14ac:dyDescent="0.25">
      <c r="B26" s="93">
        <v>2007</v>
      </c>
      <c r="C26" s="94">
        <v>5.6899999999999999E-2</v>
      </c>
      <c r="D26" s="95">
        <f t="shared" si="0"/>
        <v>10611821.306776453</v>
      </c>
      <c r="E26" s="98">
        <v>2002</v>
      </c>
      <c r="F26" s="101">
        <v>6.9900000000000004E-2</v>
      </c>
      <c r="G26" s="100">
        <f t="shared" si="1"/>
        <v>461241.99238587113</v>
      </c>
      <c r="I26" s="181"/>
      <c r="J26" s="181"/>
      <c r="K26" s="183"/>
      <c r="L26" s="42"/>
      <c r="M26" s="42"/>
      <c r="N26" s="42"/>
      <c r="O26" s="42"/>
    </row>
    <row r="27" spans="2:15" x14ac:dyDescent="0.25">
      <c r="B27" s="93">
        <v>2008</v>
      </c>
      <c r="C27" s="94">
        <v>7.6700000000000004E-2</v>
      </c>
      <c r="D27" s="95">
        <f t="shared" si="0"/>
        <v>11215633.939132033</v>
      </c>
      <c r="E27" s="98">
        <v>2001</v>
      </c>
      <c r="F27" s="101">
        <v>7.6499999999999999E-2</v>
      </c>
      <c r="G27" s="100">
        <f t="shared" si="1"/>
        <v>428464.46111088817</v>
      </c>
      <c r="I27" s="42"/>
      <c r="J27" s="42"/>
      <c r="K27" s="42"/>
      <c r="L27" s="42"/>
      <c r="M27" s="42"/>
      <c r="N27" s="42"/>
      <c r="O27" s="42"/>
    </row>
    <row r="28" spans="2:15" x14ac:dyDescent="0.25">
      <c r="B28" s="93">
        <v>2009</v>
      </c>
      <c r="C28" s="94">
        <v>0.02</v>
      </c>
      <c r="D28" s="95">
        <f t="shared" si="0"/>
        <v>12075873.062263459</v>
      </c>
      <c r="E28" s="98">
        <v>2000</v>
      </c>
      <c r="F28" s="101">
        <v>8.7499999999999994E-2</v>
      </c>
      <c r="G28" s="100">
        <f t="shared" si="1"/>
        <v>393990.30906748341</v>
      </c>
      <c r="I28" s="42"/>
      <c r="J28" s="42"/>
      <c r="K28" s="42"/>
      <c r="L28" s="42"/>
      <c r="M28" s="42"/>
      <c r="N28" s="42"/>
      <c r="O28" s="42"/>
    </row>
    <row r="29" spans="2:15" x14ac:dyDescent="0.25">
      <c r="B29" s="93">
        <v>2010</v>
      </c>
      <c r="C29" s="94">
        <v>3.1699999999999999E-2</v>
      </c>
      <c r="D29" s="95">
        <f t="shared" si="0"/>
        <v>12317390.523508728</v>
      </c>
      <c r="E29" s="98">
        <v>1999</v>
      </c>
      <c r="F29" s="101">
        <v>9.2299999999999993E-2</v>
      </c>
      <c r="G29" s="100">
        <f t="shared" si="1"/>
        <v>360697.89349765028</v>
      </c>
      <c r="I29" s="42"/>
      <c r="J29" s="42"/>
      <c r="K29" s="42"/>
      <c r="L29" s="42"/>
      <c r="M29" s="42"/>
      <c r="N29" s="42"/>
      <c r="O29" s="42"/>
    </row>
    <row r="30" spans="2:15" x14ac:dyDescent="0.25">
      <c r="B30" s="93">
        <v>2011</v>
      </c>
      <c r="C30" s="94">
        <v>3.73E-2</v>
      </c>
      <c r="D30" s="95">
        <f t="shared" si="0"/>
        <v>12707851.803103955</v>
      </c>
      <c r="E30" s="98">
        <v>1998</v>
      </c>
      <c r="F30" s="101">
        <v>0.16700000000000001</v>
      </c>
      <c r="G30" s="100">
        <f t="shared" si="1"/>
        <v>309081.3140511142</v>
      </c>
    </row>
    <row r="31" spans="2:15" x14ac:dyDescent="0.25">
      <c r="B31" s="93">
        <v>2012</v>
      </c>
      <c r="C31" s="94">
        <v>3.44E-2</v>
      </c>
      <c r="D31" s="95">
        <f t="shared" si="0"/>
        <v>13181854.675359735</v>
      </c>
      <c r="E31" s="98">
        <v>1997</v>
      </c>
      <c r="F31" s="101">
        <v>0.17680000000000001</v>
      </c>
      <c r="G31" s="100">
        <f t="shared" si="1"/>
        <v>262645.57618211606</v>
      </c>
      <c r="I31" s="184" t="s">
        <v>42</v>
      </c>
      <c r="J31" s="184"/>
      <c r="K31" s="184"/>
    </row>
    <row r="32" spans="2:15" x14ac:dyDescent="0.25">
      <c r="B32" s="93">
        <v>2013</v>
      </c>
      <c r="C32" s="94">
        <v>1.9400000000000001E-2</v>
      </c>
      <c r="D32" s="95">
        <f t="shared" si="0"/>
        <v>13635310.476192109</v>
      </c>
      <c r="E32" s="98">
        <v>1996</v>
      </c>
      <c r="F32" s="101">
        <v>0.21640000000000001</v>
      </c>
      <c r="G32" s="100">
        <f t="shared" si="1"/>
        <v>215920.40133353838</v>
      </c>
      <c r="I32" s="164" t="s">
        <v>148</v>
      </c>
      <c r="J32" s="164"/>
      <c r="K32" s="164"/>
      <c r="L32" s="164"/>
      <c r="M32" s="164"/>
      <c r="N32" s="164"/>
      <c r="O32" s="164"/>
    </row>
    <row r="33" spans="2:17" x14ac:dyDescent="0.25">
      <c r="B33" s="93">
        <v>2014</v>
      </c>
      <c r="C33" s="94">
        <v>3.6600000000000001E-2</v>
      </c>
      <c r="D33" s="95">
        <f t="shared" si="0"/>
        <v>13899835.499430237</v>
      </c>
      <c r="E33" s="98">
        <v>1995</v>
      </c>
      <c r="F33" s="101">
        <v>0.19470000000000001</v>
      </c>
      <c r="G33" s="100">
        <f t="shared" si="1"/>
        <v>180731.90033777381</v>
      </c>
      <c r="I33" s="164"/>
      <c r="J33" s="164"/>
      <c r="K33" s="164"/>
      <c r="L33" s="164"/>
      <c r="M33" s="164"/>
      <c r="N33" s="164"/>
      <c r="O33" s="164"/>
    </row>
    <row r="34" spans="2:17" x14ac:dyDescent="0.25">
      <c r="B34" s="93">
        <v>2015</v>
      </c>
      <c r="C34" s="94">
        <v>6.7699999999999996E-2</v>
      </c>
      <c r="D34" s="95">
        <f t="shared" si="0"/>
        <v>14408569.478709383</v>
      </c>
      <c r="E34" s="98">
        <v>1994</v>
      </c>
      <c r="F34" s="101">
        <v>0.22600000000000001</v>
      </c>
      <c r="G34" s="100">
        <f t="shared" si="1"/>
        <v>147415.90565886933</v>
      </c>
      <c r="I34" s="164"/>
      <c r="J34" s="164"/>
      <c r="K34" s="164"/>
      <c r="L34" s="164"/>
      <c r="M34" s="164"/>
      <c r="N34" s="164"/>
      <c r="O34" s="164"/>
    </row>
    <row r="35" spans="2:17" x14ac:dyDescent="0.25">
      <c r="B35" s="93">
        <v>2016</v>
      </c>
      <c r="C35" s="94">
        <v>5.7500000000000002E-2</v>
      </c>
      <c r="D35" s="95">
        <f t="shared" si="0"/>
        <v>15384029.63241801</v>
      </c>
      <c r="E35" s="98">
        <v>1993</v>
      </c>
      <c r="F35" s="101">
        <v>0.2261</v>
      </c>
      <c r="G35" s="100">
        <f t="shared" si="1"/>
        <v>120231.55179746296</v>
      </c>
      <c r="I35" s="164"/>
      <c r="J35" s="164"/>
      <c r="K35" s="164"/>
      <c r="L35" s="164"/>
      <c r="M35" s="164"/>
      <c r="N35" s="164"/>
      <c r="O35" s="164"/>
    </row>
    <row r="36" spans="2:17" x14ac:dyDescent="0.25">
      <c r="B36" s="93">
        <v>2017</v>
      </c>
      <c r="C36" s="94">
        <v>4.0899999999999999E-2</v>
      </c>
      <c r="D36" s="95">
        <f t="shared" si="0"/>
        <v>16268611.336282048</v>
      </c>
      <c r="E36" s="98">
        <v>1992</v>
      </c>
      <c r="F36" s="101">
        <v>0.25140000000000001</v>
      </c>
      <c r="G36" s="100">
        <f t="shared" si="1"/>
        <v>96077.634487344534</v>
      </c>
    </row>
    <row r="37" spans="2:17" x14ac:dyDescent="0.25">
      <c r="B37" s="93">
        <v>2018</v>
      </c>
      <c r="C37" s="94">
        <v>3.1800000000000002E-2</v>
      </c>
      <c r="D37" s="95">
        <f t="shared" si="0"/>
        <v>16933997.539935984</v>
      </c>
      <c r="E37" s="98">
        <v>1991</v>
      </c>
      <c r="F37" s="101">
        <v>0.26819999999999999</v>
      </c>
      <c r="G37" s="100">
        <f t="shared" si="1"/>
        <v>75759.055738325609</v>
      </c>
      <c r="J37" s="184" t="s">
        <v>43</v>
      </c>
      <c r="K37" s="184"/>
      <c r="L37" s="184"/>
      <c r="M37" s="184"/>
      <c r="N37" s="184"/>
    </row>
    <row r="38" spans="2:17" x14ac:dyDescent="0.25">
      <c r="B38" s="93">
        <v>2019</v>
      </c>
      <c r="C38" s="93"/>
      <c r="D38" s="41">
        <f t="shared" si="0"/>
        <v>17472498.661705948</v>
      </c>
      <c r="E38" s="98">
        <v>1990</v>
      </c>
      <c r="F38" s="101">
        <v>0.32369999999999999</v>
      </c>
      <c r="G38" s="41">
        <f t="shared" si="1"/>
        <v>57232.798774892806</v>
      </c>
      <c r="J38" s="164" t="s">
        <v>189</v>
      </c>
      <c r="K38" s="164"/>
      <c r="L38" s="164"/>
      <c r="M38" s="164"/>
      <c r="N38" s="164"/>
      <c r="O38" s="164"/>
      <c r="P38" s="164"/>
      <c r="Q38" s="164"/>
    </row>
    <row r="39" spans="2:17" x14ac:dyDescent="0.25">
      <c r="D39" s="189" t="s">
        <v>41</v>
      </c>
      <c r="E39" s="189"/>
      <c r="G39" s="188" t="s">
        <v>144</v>
      </c>
      <c r="H39" s="188"/>
      <c r="J39" s="164"/>
      <c r="K39" s="164"/>
      <c r="L39" s="164"/>
      <c r="M39" s="164"/>
      <c r="N39" s="164"/>
      <c r="O39" s="164"/>
      <c r="P39" s="164"/>
      <c r="Q39" s="164"/>
    </row>
    <row r="40" spans="2:17" x14ac:dyDescent="0.25">
      <c r="D40" s="188"/>
      <c r="E40" s="188"/>
      <c r="G40" s="188"/>
      <c r="H40" s="188"/>
      <c r="J40" s="164"/>
      <c r="K40" s="164"/>
      <c r="L40" s="164"/>
      <c r="M40" s="164"/>
      <c r="N40" s="164"/>
      <c r="O40" s="164"/>
      <c r="P40" s="164"/>
      <c r="Q40" s="164"/>
    </row>
    <row r="41" spans="2:17" x14ac:dyDescent="0.25">
      <c r="J41" s="164"/>
      <c r="K41" s="164"/>
      <c r="L41" s="164"/>
      <c r="M41" s="164"/>
      <c r="N41" s="164"/>
      <c r="O41" s="164"/>
      <c r="P41" s="164"/>
      <c r="Q41" s="164"/>
    </row>
    <row r="42" spans="2:17" x14ac:dyDescent="0.25">
      <c r="G42" s="26"/>
      <c r="H42" s="26"/>
      <c r="I42" s="26"/>
      <c r="J42" s="164"/>
      <c r="K42" s="164"/>
      <c r="L42" s="164"/>
      <c r="M42" s="164"/>
      <c r="N42" s="164"/>
      <c r="O42" s="164"/>
      <c r="P42" s="164"/>
      <c r="Q42" s="164"/>
    </row>
    <row r="44" spans="2:17" x14ac:dyDescent="0.25">
      <c r="I44" s="184" t="s">
        <v>44</v>
      </c>
      <c r="J44" s="184"/>
      <c r="K44" s="184"/>
      <c r="L44" s="184"/>
      <c r="M44" s="184"/>
      <c r="N44" s="184"/>
    </row>
    <row r="45" spans="2:17" ht="15" customHeight="1" x14ac:dyDescent="0.25">
      <c r="I45" s="164" t="s">
        <v>188</v>
      </c>
      <c r="J45" s="164"/>
      <c r="K45" s="164"/>
      <c r="L45" s="164"/>
      <c r="M45" s="164"/>
      <c r="N45" s="164"/>
      <c r="O45" s="164"/>
      <c r="P45" s="164"/>
      <c r="Q45" s="66"/>
    </row>
    <row r="46" spans="2:17" x14ac:dyDescent="0.25">
      <c r="I46" s="164"/>
      <c r="J46" s="164"/>
      <c r="K46" s="164"/>
      <c r="L46" s="164"/>
      <c r="M46" s="164"/>
      <c r="N46" s="164"/>
      <c r="O46" s="164"/>
      <c r="P46" s="164"/>
      <c r="Q46" s="66"/>
    </row>
    <row r="47" spans="2:17" x14ac:dyDescent="0.25">
      <c r="I47" s="164"/>
      <c r="J47" s="164"/>
      <c r="K47" s="164"/>
      <c r="L47" s="164"/>
      <c r="M47" s="164"/>
      <c r="N47" s="164"/>
      <c r="O47" s="164"/>
      <c r="P47" s="164"/>
      <c r="Q47" s="66"/>
    </row>
    <row r="48" spans="2:17" x14ac:dyDescent="0.25">
      <c r="I48" s="164"/>
      <c r="J48" s="164"/>
      <c r="K48" s="164"/>
      <c r="L48" s="164"/>
      <c r="M48" s="164"/>
      <c r="N48" s="164"/>
      <c r="O48" s="164"/>
      <c r="P48" s="164"/>
      <c r="Q48" s="66"/>
    </row>
    <row r="49" spans="9:17" x14ac:dyDescent="0.25">
      <c r="I49" s="164"/>
      <c r="J49" s="164"/>
      <c r="K49" s="164"/>
      <c r="L49" s="164"/>
      <c r="M49" s="164"/>
      <c r="N49" s="164"/>
      <c r="O49" s="164"/>
      <c r="P49" s="164"/>
      <c r="Q49" s="66"/>
    </row>
    <row r="50" spans="9:17" x14ac:dyDescent="0.25">
      <c r="I50" s="164"/>
      <c r="J50" s="164"/>
      <c r="K50" s="164"/>
      <c r="L50" s="164"/>
      <c r="M50" s="164"/>
      <c r="N50" s="164"/>
      <c r="O50" s="164"/>
      <c r="P50" s="164"/>
      <c r="Q50" s="66"/>
    </row>
    <row r="51" spans="9:17" x14ac:dyDescent="0.25">
      <c r="I51" s="164"/>
      <c r="J51" s="164"/>
      <c r="K51" s="164"/>
      <c r="L51" s="164"/>
      <c r="M51" s="164"/>
      <c r="N51" s="164"/>
      <c r="O51" s="164"/>
      <c r="P51" s="164"/>
      <c r="Q51" s="66"/>
    </row>
    <row r="52" spans="9:17" x14ac:dyDescent="0.25">
      <c r="I52" s="164"/>
      <c r="J52" s="164"/>
      <c r="K52" s="164"/>
      <c r="L52" s="164"/>
      <c r="M52" s="164"/>
      <c r="N52" s="164"/>
      <c r="O52" s="164"/>
      <c r="P52" s="164"/>
      <c r="Q52" s="66"/>
    </row>
    <row r="53" spans="9:17" x14ac:dyDescent="0.25">
      <c r="Q53" s="66"/>
    </row>
    <row r="54" spans="9:17" x14ac:dyDescent="0.25">
      <c r="Q54" s="66"/>
    </row>
  </sheetData>
  <mergeCells count="19">
    <mergeCell ref="I45:P52"/>
    <mergeCell ref="B3:N3"/>
    <mergeCell ref="I7:L7"/>
    <mergeCell ref="I8:L8"/>
    <mergeCell ref="I9:L9"/>
    <mergeCell ref="B6:C6"/>
    <mergeCell ref="F6:G6"/>
    <mergeCell ref="G39:H40"/>
    <mergeCell ref="D39:E40"/>
    <mergeCell ref="I31:K31"/>
    <mergeCell ref="I32:O35"/>
    <mergeCell ref="J37:N37"/>
    <mergeCell ref="J38:Q42"/>
    <mergeCell ref="I17:K20"/>
    <mergeCell ref="I22:J23"/>
    <mergeCell ref="K22:K23"/>
    <mergeCell ref="I25:J26"/>
    <mergeCell ref="K25:K26"/>
    <mergeCell ref="I44:N44"/>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opLeftCell="A28" workbookViewId="0">
      <selection activeCell="F37" sqref="F37:J44"/>
    </sheetView>
  </sheetViews>
  <sheetFormatPr baseColWidth="10" defaultRowHeight="15" x14ac:dyDescent="0.25"/>
  <sheetData>
    <row r="1" spans="1:13" x14ac:dyDescent="0.25">
      <c r="B1" s="190" t="s">
        <v>149</v>
      </c>
      <c r="C1" s="190"/>
      <c r="D1" s="190"/>
      <c r="E1" s="190"/>
      <c r="F1" s="190"/>
    </row>
    <row r="2" spans="1:13" x14ac:dyDescent="0.25">
      <c r="B2" s="190"/>
      <c r="C2" s="190"/>
      <c r="D2" s="190"/>
      <c r="E2" s="190"/>
      <c r="F2" s="190"/>
    </row>
    <row r="4" spans="1:13" ht="15.75" customHeight="1" x14ac:dyDescent="0.25">
      <c r="A4" s="21" t="s">
        <v>45</v>
      </c>
      <c r="B4" s="180" t="s">
        <v>46</v>
      </c>
      <c r="C4" s="180"/>
      <c r="D4" s="180"/>
      <c r="E4" s="180"/>
      <c r="F4" s="180"/>
      <c r="G4" s="180"/>
      <c r="H4" s="180"/>
      <c r="I4" s="180"/>
      <c r="J4" s="180"/>
      <c r="K4" s="180"/>
      <c r="L4" s="180"/>
      <c r="M4" s="27"/>
    </row>
    <row r="5" spans="1:13" x14ac:dyDescent="0.25">
      <c r="B5" s="180"/>
      <c r="C5" s="180"/>
      <c r="D5" s="180"/>
      <c r="E5" s="180"/>
      <c r="F5" s="180"/>
      <c r="G5" s="180"/>
      <c r="H5" s="180"/>
      <c r="I5" s="180"/>
      <c r="J5" s="180"/>
      <c r="K5" s="180"/>
      <c r="L5" s="180"/>
      <c r="M5" s="27"/>
    </row>
    <row r="6" spans="1:13" x14ac:dyDescent="0.25">
      <c r="B6" s="180"/>
      <c r="C6" s="180"/>
      <c r="D6" s="180"/>
      <c r="E6" s="180"/>
      <c r="F6" s="180"/>
      <c r="G6" s="180"/>
      <c r="H6" s="180"/>
      <c r="I6" s="180"/>
      <c r="J6" s="180"/>
      <c r="K6" s="180"/>
      <c r="L6" s="180"/>
      <c r="M6" s="27"/>
    </row>
    <row r="7" spans="1:13" x14ac:dyDescent="0.25">
      <c r="B7" s="180"/>
      <c r="C7" s="180"/>
      <c r="D7" s="180"/>
      <c r="E7" s="180"/>
      <c r="F7" s="180"/>
      <c r="G7" s="180"/>
      <c r="H7" s="180"/>
      <c r="I7" s="180"/>
      <c r="J7" s="180"/>
      <c r="K7" s="180"/>
      <c r="L7" s="180"/>
      <c r="M7" s="27"/>
    </row>
    <row r="8" spans="1:13" x14ac:dyDescent="0.25">
      <c r="B8" s="180"/>
      <c r="C8" s="180"/>
      <c r="D8" s="180"/>
      <c r="E8" s="180"/>
      <c r="F8" s="180"/>
      <c r="G8" s="180"/>
      <c r="H8" s="180"/>
      <c r="I8" s="180"/>
      <c r="J8" s="180"/>
      <c r="K8" s="180"/>
      <c r="L8" s="180"/>
      <c r="M8" s="27"/>
    </row>
    <row r="9" spans="1:13" x14ac:dyDescent="0.25">
      <c r="B9" s="27"/>
      <c r="C9" s="27"/>
      <c r="D9" s="27"/>
      <c r="E9" s="27"/>
      <c r="F9" s="27"/>
      <c r="G9" s="27"/>
      <c r="H9" s="27"/>
      <c r="I9" s="27"/>
      <c r="J9" s="27"/>
      <c r="K9" s="27"/>
      <c r="L9" s="27"/>
      <c r="M9" s="27"/>
    </row>
    <row r="11" spans="1:13" ht="15" customHeight="1" x14ac:dyDescent="0.25">
      <c r="B11" s="191" t="s">
        <v>49</v>
      </c>
      <c r="C11" s="191"/>
      <c r="D11" s="191"/>
      <c r="J11" s="27"/>
      <c r="K11" s="66"/>
      <c r="L11" s="66"/>
    </row>
    <row r="12" spans="1:13" x14ac:dyDescent="0.25">
      <c r="B12" s="7" t="s">
        <v>31</v>
      </c>
      <c r="C12" s="7" t="s">
        <v>47</v>
      </c>
      <c r="D12" s="7" t="s">
        <v>48</v>
      </c>
      <c r="J12" s="27"/>
    </row>
    <row r="13" spans="1:13" x14ac:dyDescent="0.25">
      <c r="B13" s="28">
        <v>0</v>
      </c>
      <c r="C13" s="28"/>
      <c r="D13" s="29">
        <v>1000000</v>
      </c>
      <c r="F13" s="180" t="s">
        <v>150</v>
      </c>
      <c r="G13" s="180"/>
      <c r="H13" s="180"/>
      <c r="I13" s="180"/>
      <c r="J13" s="27"/>
    </row>
    <row r="14" spans="1:13" x14ac:dyDescent="0.25">
      <c r="B14" s="8">
        <v>1</v>
      </c>
      <c r="C14" s="12">
        <v>50000</v>
      </c>
      <c r="D14" s="12">
        <f>D13+C14</f>
        <v>1050000</v>
      </c>
      <c r="F14" s="180"/>
      <c r="G14" s="180"/>
      <c r="H14" s="180"/>
      <c r="I14" s="180"/>
      <c r="J14" s="27"/>
    </row>
    <row r="15" spans="1:13" x14ac:dyDescent="0.25">
      <c r="B15" s="8">
        <v>2</v>
      </c>
      <c r="C15" s="12">
        <v>50000</v>
      </c>
      <c r="D15" s="12">
        <f t="shared" ref="D15:D25" si="0">D14+C15</f>
        <v>1100000</v>
      </c>
      <c r="F15" s="180"/>
      <c r="G15" s="180"/>
      <c r="H15" s="180"/>
      <c r="I15" s="180"/>
      <c r="J15" s="27"/>
    </row>
    <row r="16" spans="1:13" x14ac:dyDescent="0.25">
      <c r="B16" s="8">
        <v>3</v>
      </c>
      <c r="C16" s="12">
        <v>50000</v>
      </c>
      <c r="D16" s="12">
        <f t="shared" si="0"/>
        <v>1150000</v>
      </c>
      <c r="F16" s="180"/>
      <c r="G16" s="180"/>
      <c r="H16" s="180"/>
      <c r="I16" s="180"/>
      <c r="J16" s="66"/>
      <c r="K16" s="66"/>
      <c r="L16" s="66"/>
    </row>
    <row r="17" spans="2:15" x14ac:dyDescent="0.25">
      <c r="B17" s="8">
        <v>4</v>
      </c>
      <c r="C17" s="12">
        <v>50000</v>
      </c>
      <c r="D17" s="12">
        <f t="shared" si="0"/>
        <v>1200000</v>
      </c>
      <c r="F17" s="66"/>
      <c r="G17" s="66"/>
      <c r="H17" s="66"/>
      <c r="I17" s="66"/>
      <c r="J17" s="66"/>
      <c r="K17" s="66"/>
      <c r="L17" s="66"/>
    </row>
    <row r="18" spans="2:15" x14ac:dyDescent="0.25">
      <c r="B18" s="8">
        <v>5</v>
      </c>
      <c r="C18" s="12">
        <v>50000</v>
      </c>
      <c r="D18" s="12">
        <f t="shared" si="0"/>
        <v>1250000</v>
      </c>
    </row>
    <row r="19" spans="2:15" x14ac:dyDescent="0.25">
      <c r="B19" s="8">
        <v>6</v>
      </c>
      <c r="C19" s="12">
        <v>50000</v>
      </c>
      <c r="D19" s="12">
        <f t="shared" si="0"/>
        <v>1300000</v>
      </c>
      <c r="F19" s="184" t="s">
        <v>50</v>
      </c>
      <c r="G19" s="184"/>
      <c r="H19" s="184"/>
      <c r="I19" s="184"/>
      <c r="J19" s="184"/>
    </row>
    <row r="20" spans="2:15" x14ac:dyDescent="0.25">
      <c r="B20" s="8">
        <v>7</v>
      </c>
      <c r="C20" s="12">
        <v>50000</v>
      </c>
      <c r="D20" s="12">
        <f t="shared" si="0"/>
        <v>1350000</v>
      </c>
    </row>
    <row r="21" spans="2:15" ht="15" customHeight="1" x14ac:dyDescent="0.25">
      <c r="B21" s="8">
        <v>8</v>
      </c>
      <c r="C21" s="12">
        <v>50000</v>
      </c>
      <c r="D21" s="12">
        <f t="shared" si="0"/>
        <v>1400000</v>
      </c>
      <c r="F21" s="179" t="s">
        <v>51</v>
      </c>
      <c r="G21" s="179"/>
      <c r="H21" s="165"/>
      <c r="M21" s="42"/>
      <c r="N21" s="42"/>
      <c r="O21" s="42"/>
    </row>
    <row r="22" spans="2:15" x14ac:dyDescent="0.25">
      <c r="B22" s="8">
        <v>9</v>
      </c>
      <c r="C22" s="12">
        <v>50000</v>
      </c>
      <c r="D22" s="12">
        <f t="shared" si="0"/>
        <v>1450000</v>
      </c>
      <c r="F22" s="179"/>
      <c r="G22" s="179"/>
      <c r="H22" s="165"/>
      <c r="J22" s="164" t="s">
        <v>151</v>
      </c>
      <c r="K22" s="164"/>
      <c r="L22" s="164"/>
      <c r="M22" s="42"/>
      <c r="N22" s="42"/>
      <c r="O22" s="42"/>
    </row>
    <row r="23" spans="2:15" x14ac:dyDescent="0.25">
      <c r="B23" s="8">
        <v>10</v>
      </c>
      <c r="C23" s="12">
        <v>50000</v>
      </c>
      <c r="D23" s="12">
        <f t="shared" si="0"/>
        <v>1500000</v>
      </c>
      <c r="J23" s="164"/>
      <c r="K23" s="164"/>
      <c r="L23" s="164"/>
      <c r="M23" s="42"/>
      <c r="N23" s="42"/>
      <c r="O23" s="42"/>
    </row>
    <row r="24" spans="2:15" x14ac:dyDescent="0.25">
      <c r="B24" s="8">
        <v>11</v>
      </c>
      <c r="C24" s="12">
        <v>50000</v>
      </c>
      <c r="D24" s="12">
        <f t="shared" si="0"/>
        <v>1550000</v>
      </c>
      <c r="F24" s="185" t="s">
        <v>54</v>
      </c>
      <c r="G24" s="185"/>
      <c r="H24" s="33">
        <f>C25/D13</f>
        <v>0.05</v>
      </c>
      <c r="J24" s="164"/>
      <c r="K24" s="164"/>
      <c r="L24" s="164"/>
      <c r="M24" s="42"/>
      <c r="N24" s="42"/>
      <c r="O24" s="42"/>
    </row>
    <row r="25" spans="2:15" x14ac:dyDescent="0.25">
      <c r="B25" s="8">
        <v>12</v>
      </c>
      <c r="C25" s="12">
        <v>50000</v>
      </c>
      <c r="D25" s="12">
        <f t="shared" si="0"/>
        <v>1600000</v>
      </c>
      <c r="J25" s="164"/>
      <c r="K25" s="164"/>
      <c r="L25" s="164"/>
      <c r="M25" s="42"/>
      <c r="N25" s="42"/>
      <c r="O25" s="42"/>
    </row>
    <row r="26" spans="2:15" x14ac:dyDescent="0.25">
      <c r="F26" s="185" t="s">
        <v>56</v>
      </c>
      <c r="G26" s="185"/>
      <c r="H26" s="105">
        <v>600000</v>
      </c>
      <c r="M26" s="42"/>
      <c r="N26" s="42"/>
      <c r="O26" s="42"/>
    </row>
    <row r="27" spans="2:15" x14ac:dyDescent="0.25">
      <c r="M27" s="42"/>
      <c r="N27" s="42"/>
      <c r="O27" s="42"/>
    </row>
    <row r="30" spans="2:15" ht="15" customHeight="1" x14ac:dyDescent="0.25">
      <c r="B30" s="192" t="s">
        <v>52</v>
      </c>
      <c r="C30" s="192"/>
      <c r="D30" s="192"/>
      <c r="E30" s="192"/>
      <c r="F30" s="192"/>
      <c r="G30" s="192"/>
      <c r="H30" s="192"/>
      <c r="I30" s="192"/>
    </row>
    <row r="31" spans="2:15" x14ac:dyDescent="0.25">
      <c r="B31" s="192"/>
      <c r="C31" s="192"/>
      <c r="D31" s="192"/>
      <c r="E31" s="192"/>
      <c r="F31" s="192"/>
      <c r="G31" s="192"/>
      <c r="H31" s="192"/>
      <c r="I31" s="192"/>
    </row>
    <row r="32" spans="2:15" x14ac:dyDescent="0.25">
      <c r="B32" s="192"/>
      <c r="C32" s="192"/>
      <c r="D32" s="192"/>
      <c r="E32" s="192"/>
      <c r="F32" s="192"/>
      <c r="G32" s="192"/>
      <c r="H32" s="192"/>
      <c r="I32" s="192"/>
    </row>
    <row r="33" spans="2:13" ht="15.75" customHeight="1" thickBot="1" x14ac:dyDescent="0.3">
      <c r="B33" s="30"/>
      <c r="C33" s="30"/>
      <c r="D33" s="30"/>
      <c r="E33" s="30"/>
      <c r="F33" s="30"/>
      <c r="G33" s="30"/>
      <c r="H33" s="30"/>
      <c r="I33" s="30"/>
    </row>
    <row r="34" spans="2:13" ht="15" customHeight="1" thickBot="1" x14ac:dyDescent="0.3">
      <c r="B34" s="193" t="s">
        <v>54</v>
      </c>
      <c r="C34" s="194"/>
      <c r="D34" s="106">
        <v>1.5299999999999999E-2</v>
      </c>
      <c r="E34" s="30"/>
      <c r="F34" s="30"/>
      <c r="G34" s="30"/>
      <c r="H34" s="30"/>
      <c r="I34" s="30"/>
    </row>
    <row r="35" spans="2:13" ht="15" customHeight="1" x14ac:dyDescent="0.25">
      <c r="B35" s="32"/>
      <c r="C35" s="32"/>
      <c r="D35" s="31"/>
      <c r="E35" s="30"/>
      <c r="F35" s="30"/>
      <c r="G35" s="30"/>
      <c r="H35" s="30"/>
      <c r="I35" s="30"/>
    </row>
    <row r="36" spans="2:13" x14ac:dyDescent="0.25">
      <c r="B36" s="191" t="s">
        <v>55</v>
      </c>
      <c r="C36" s="191"/>
      <c r="D36" s="191"/>
    </row>
    <row r="37" spans="2:13" ht="15" customHeight="1" x14ac:dyDescent="0.25">
      <c r="B37" s="7" t="s">
        <v>31</v>
      </c>
      <c r="C37" s="7" t="s">
        <v>47</v>
      </c>
      <c r="D37" s="7" t="s">
        <v>53</v>
      </c>
      <c r="F37" s="164" t="s">
        <v>152</v>
      </c>
      <c r="G37" s="164"/>
      <c r="H37" s="164"/>
      <c r="I37" s="164"/>
      <c r="J37" s="164"/>
      <c r="K37" s="42"/>
      <c r="L37" s="42"/>
      <c r="M37" s="42"/>
    </row>
    <row r="38" spans="2:13" x14ac:dyDescent="0.25">
      <c r="B38" s="8">
        <v>0</v>
      </c>
      <c r="C38" s="12"/>
      <c r="D38" s="12">
        <v>3000000</v>
      </c>
      <c r="F38" s="164"/>
      <c r="G38" s="164"/>
      <c r="H38" s="164"/>
      <c r="I38" s="164"/>
      <c r="J38" s="164"/>
      <c r="K38" s="42"/>
      <c r="L38" s="42"/>
      <c r="M38" s="42"/>
    </row>
    <row r="39" spans="2:13" x14ac:dyDescent="0.25">
      <c r="B39" s="8">
        <v>1</v>
      </c>
      <c r="C39" s="12">
        <f>D38*$D$34</f>
        <v>45900</v>
      </c>
      <c r="D39" s="12">
        <f>D38+C39</f>
        <v>3045900</v>
      </c>
      <c r="F39" s="164"/>
      <c r="G39" s="164"/>
      <c r="H39" s="164"/>
      <c r="I39" s="164"/>
      <c r="J39" s="164"/>
      <c r="K39" s="42"/>
      <c r="L39" s="42"/>
      <c r="M39" s="42"/>
    </row>
    <row r="40" spans="2:13" x14ac:dyDescent="0.25">
      <c r="B40" s="8">
        <v>2</v>
      </c>
      <c r="C40" s="12">
        <f t="shared" ref="C40:C50" si="1">D39*$D$34</f>
        <v>46602.27</v>
      </c>
      <c r="D40" s="12">
        <f t="shared" ref="D40:D50" si="2">D39+C40</f>
        <v>3092502.27</v>
      </c>
      <c r="F40" s="164"/>
      <c r="G40" s="164"/>
      <c r="H40" s="164"/>
      <c r="I40" s="164"/>
      <c r="J40" s="164"/>
      <c r="K40" s="42"/>
      <c r="L40" s="42"/>
      <c r="M40" s="42"/>
    </row>
    <row r="41" spans="2:13" x14ac:dyDescent="0.25">
      <c r="B41" s="8">
        <v>3</v>
      </c>
      <c r="C41" s="12">
        <f t="shared" si="1"/>
        <v>47315.284731</v>
      </c>
      <c r="D41" s="12">
        <f t="shared" si="2"/>
        <v>3139817.5547310002</v>
      </c>
      <c r="F41" s="164"/>
      <c r="G41" s="164"/>
      <c r="H41" s="164"/>
      <c r="I41" s="164"/>
      <c r="J41" s="164"/>
      <c r="K41" s="42"/>
      <c r="L41" s="42"/>
      <c r="M41" s="42"/>
    </row>
    <row r="42" spans="2:13" x14ac:dyDescent="0.25">
      <c r="B42" s="8">
        <v>4</v>
      </c>
      <c r="C42" s="12">
        <f t="shared" si="1"/>
        <v>48039.208587384303</v>
      </c>
      <c r="D42" s="12">
        <f t="shared" si="2"/>
        <v>3187856.7633183845</v>
      </c>
      <c r="F42" s="164"/>
      <c r="G42" s="164"/>
      <c r="H42" s="164"/>
      <c r="I42" s="164"/>
      <c r="J42" s="164"/>
      <c r="K42" s="42"/>
      <c r="L42" s="42"/>
      <c r="M42" s="42"/>
    </row>
    <row r="43" spans="2:13" x14ac:dyDescent="0.25">
      <c r="B43" s="8">
        <v>5</v>
      </c>
      <c r="C43" s="12">
        <f t="shared" si="1"/>
        <v>48774.208478771281</v>
      </c>
      <c r="D43" s="12">
        <f t="shared" si="2"/>
        <v>3236630.9717971557</v>
      </c>
      <c r="F43" s="164"/>
      <c r="G43" s="164"/>
      <c r="H43" s="164"/>
      <c r="I43" s="164"/>
      <c r="J43" s="164"/>
      <c r="K43" s="42"/>
      <c r="L43" s="42"/>
      <c r="M43" s="42"/>
    </row>
    <row r="44" spans="2:13" x14ac:dyDescent="0.25">
      <c r="B44" s="8">
        <v>6</v>
      </c>
      <c r="C44" s="12">
        <f t="shared" si="1"/>
        <v>49520.453868496479</v>
      </c>
      <c r="D44" s="12">
        <f t="shared" si="2"/>
        <v>3286151.4256656524</v>
      </c>
      <c r="F44" s="164"/>
      <c r="G44" s="164"/>
      <c r="H44" s="164"/>
      <c r="I44" s="164"/>
      <c r="J44" s="164"/>
      <c r="K44" s="42"/>
      <c r="L44" s="42"/>
      <c r="M44" s="42"/>
    </row>
    <row r="45" spans="2:13" x14ac:dyDescent="0.25">
      <c r="B45" s="8">
        <v>7</v>
      </c>
      <c r="C45" s="12">
        <f t="shared" si="1"/>
        <v>50278.116812684479</v>
      </c>
      <c r="D45" s="12">
        <f t="shared" si="2"/>
        <v>3336429.542478337</v>
      </c>
      <c r="F45" s="42"/>
      <c r="G45" s="42"/>
      <c r="H45" s="42"/>
      <c r="I45" s="42"/>
      <c r="J45" s="42"/>
      <c r="K45" s="42"/>
      <c r="L45" s="42"/>
      <c r="M45" s="42"/>
    </row>
    <row r="46" spans="2:13" x14ac:dyDescent="0.25">
      <c r="B46" s="8">
        <v>8</v>
      </c>
      <c r="C46" s="12">
        <f t="shared" si="1"/>
        <v>51047.371999918556</v>
      </c>
      <c r="D46" s="12">
        <f t="shared" si="2"/>
        <v>3387476.9144782554</v>
      </c>
      <c r="F46" s="42"/>
      <c r="G46" s="42"/>
      <c r="H46" s="42"/>
      <c r="I46" s="42"/>
      <c r="J46" s="42"/>
      <c r="K46" s="42"/>
      <c r="L46" s="42"/>
      <c r="M46" s="42"/>
    </row>
    <row r="47" spans="2:13" x14ac:dyDescent="0.25">
      <c r="B47" s="8">
        <v>9</v>
      </c>
      <c r="C47" s="12">
        <f t="shared" si="1"/>
        <v>51828.396791517305</v>
      </c>
      <c r="D47" s="12">
        <f t="shared" si="2"/>
        <v>3439305.3112697727</v>
      </c>
      <c r="F47" s="42"/>
      <c r="G47" s="42"/>
      <c r="H47" s="42"/>
      <c r="I47" s="42"/>
      <c r="J47" s="42"/>
      <c r="K47" s="42"/>
      <c r="L47" s="42"/>
      <c r="M47" s="42"/>
    </row>
    <row r="48" spans="2:13" x14ac:dyDescent="0.25">
      <c r="B48" s="8">
        <v>10</v>
      </c>
      <c r="C48" s="12">
        <f t="shared" si="1"/>
        <v>52621.371262427521</v>
      </c>
      <c r="D48" s="12">
        <f t="shared" si="2"/>
        <v>3491926.6825322001</v>
      </c>
      <c r="F48" s="42"/>
      <c r="G48" s="42"/>
      <c r="H48" s="42"/>
      <c r="I48" s="42"/>
      <c r="J48" s="42"/>
      <c r="K48" s="42"/>
      <c r="L48" s="42"/>
      <c r="M48" s="42"/>
    </row>
    <row r="49" spans="2:13" x14ac:dyDescent="0.25">
      <c r="B49" s="8">
        <v>11</v>
      </c>
      <c r="C49" s="12">
        <f t="shared" si="1"/>
        <v>53426.478242742662</v>
      </c>
      <c r="D49" s="12">
        <f t="shared" si="2"/>
        <v>3545353.160774943</v>
      </c>
      <c r="F49" s="42"/>
      <c r="G49" s="42"/>
      <c r="H49" s="42"/>
      <c r="I49" s="42"/>
      <c r="J49" s="42"/>
      <c r="K49" s="42"/>
      <c r="L49" s="42"/>
      <c r="M49" s="42"/>
    </row>
    <row r="50" spans="2:13" x14ac:dyDescent="0.25">
      <c r="B50" s="8">
        <v>12</v>
      </c>
      <c r="C50" s="12">
        <f t="shared" si="1"/>
        <v>54243.903359856624</v>
      </c>
      <c r="D50" s="41">
        <f t="shared" si="2"/>
        <v>3599597.0641347994</v>
      </c>
    </row>
  </sheetData>
  <mergeCells count="14">
    <mergeCell ref="B1:F2"/>
    <mergeCell ref="F13:I16"/>
    <mergeCell ref="J22:L25"/>
    <mergeCell ref="F37:J44"/>
    <mergeCell ref="B36:D36"/>
    <mergeCell ref="F19:J19"/>
    <mergeCell ref="H21:H22"/>
    <mergeCell ref="F21:G22"/>
    <mergeCell ref="F24:G24"/>
    <mergeCell ref="F26:G26"/>
    <mergeCell ref="B4:L8"/>
    <mergeCell ref="B11:D11"/>
    <mergeCell ref="B30:I32"/>
    <mergeCell ref="B34:C34"/>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K19" sqref="K19"/>
    </sheetView>
  </sheetViews>
  <sheetFormatPr baseColWidth="10" defaultRowHeight="15" x14ac:dyDescent="0.25"/>
  <sheetData>
    <row r="3" spans="1:11" ht="15.75" x14ac:dyDescent="0.25">
      <c r="A3" s="34" t="s">
        <v>57</v>
      </c>
      <c r="B3" s="196" t="s">
        <v>58</v>
      </c>
      <c r="C3" s="196"/>
      <c r="D3" s="196"/>
      <c r="E3" s="196"/>
      <c r="F3" s="196"/>
      <c r="G3" s="196"/>
      <c r="H3" s="196"/>
      <c r="I3" s="196"/>
    </row>
    <row r="4" spans="1:11" x14ac:dyDescent="0.25">
      <c r="B4" s="192" t="s">
        <v>59</v>
      </c>
      <c r="C4" s="192"/>
      <c r="D4" s="192"/>
      <c r="E4" s="192"/>
      <c r="F4" s="192"/>
      <c r="G4" s="35"/>
      <c r="H4" s="35"/>
      <c r="I4" s="35"/>
    </row>
    <row r="5" spans="1:11" x14ac:dyDescent="0.25">
      <c r="B5" s="192"/>
      <c r="C5" s="192"/>
      <c r="D5" s="192"/>
      <c r="E5" s="192"/>
      <c r="F5" s="192"/>
      <c r="G5" s="35"/>
      <c r="H5" s="35"/>
      <c r="I5" s="35"/>
    </row>
    <row r="6" spans="1:11" ht="15.75" thickBot="1" x14ac:dyDescent="0.3"/>
    <row r="7" spans="1:11" ht="15.75" thickBot="1" x14ac:dyDescent="0.3">
      <c r="B7" s="197" t="s">
        <v>60</v>
      </c>
      <c r="C7" s="198"/>
      <c r="D7" s="107">
        <v>0.08</v>
      </c>
      <c r="F7" s="171" t="s">
        <v>63</v>
      </c>
      <c r="G7" s="172"/>
      <c r="H7" s="89">
        <v>6000</v>
      </c>
    </row>
    <row r="8" spans="1:11" ht="15.75" thickBot="1" x14ac:dyDescent="0.3">
      <c r="F8" s="111" t="s">
        <v>65</v>
      </c>
      <c r="G8" s="112">
        <v>5</v>
      </c>
    </row>
    <row r="9" spans="1:11" x14ac:dyDescent="0.25">
      <c r="B9" s="179" t="s">
        <v>61</v>
      </c>
      <c r="C9" s="179"/>
      <c r="D9" s="165"/>
      <c r="E9" s="165"/>
    </row>
    <row r="10" spans="1:11" ht="15" customHeight="1" x14ac:dyDescent="0.25">
      <c r="B10" s="179"/>
      <c r="C10" s="179"/>
      <c r="D10" s="165"/>
      <c r="E10" s="165"/>
      <c r="F10" s="176" t="s">
        <v>153</v>
      </c>
      <c r="G10" s="176"/>
      <c r="H10" s="176"/>
      <c r="I10" s="42"/>
      <c r="J10" s="42"/>
      <c r="K10" s="42"/>
    </row>
    <row r="11" spans="1:11" x14ac:dyDescent="0.25">
      <c r="F11" s="176"/>
      <c r="G11" s="176"/>
      <c r="H11" s="176"/>
      <c r="I11" s="42"/>
      <c r="J11" s="42"/>
      <c r="K11" s="42"/>
    </row>
    <row r="12" spans="1:11" x14ac:dyDescent="0.25">
      <c r="B12" s="179" t="s">
        <v>62</v>
      </c>
      <c r="C12" s="179"/>
      <c r="D12" s="195">
        <f>H7/(1+D7)^G8</f>
        <v>4083.4991822025181</v>
      </c>
      <c r="E12" s="36"/>
      <c r="F12" s="176"/>
      <c r="G12" s="176"/>
      <c r="H12" s="176"/>
      <c r="I12" s="42"/>
      <c r="J12" s="42"/>
      <c r="K12" s="42"/>
    </row>
    <row r="13" spans="1:11" x14ac:dyDescent="0.25">
      <c r="B13" s="179" t="s">
        <v>64</v>
      </c>
      <c r="C13" s="179"/>
      <c r="D13" s="195"/>
      <c r="E13" s="36"/>
      <c r="F13" s="176"/>
      <c r="G13" s="176"/>
      <c r="H13" s="176"/>
      <c r="I13" s="42"/>
      <c r="J13" s="42"/>
      <c r="K13" s="42"/>
    </row>
    <row r="14" spans="1:11" x14ac:dyDescent="0.25">
      <c r="F14" s="42"/>
      <c r="G14" s="42"/>
      <c r="H14" s="42"/>
      <c r="I14" s="42"/>
      <c r="J14" s="42"/>
      <c r="K14" s="42"/>
    </row>
    <row r="16" spans="1:11" x14ac:dyDescent="0.25">
      <c r="B16" s="192" t="s">
        <v>66</v>
      </c>
      <c r="C16" s="192"/>
      <c r="D16" s="192"/>
      <c r="E16" s="192"/>
      <c r="F16" s="192"/>
      <c r="G16" s="192"/>
    </row>
    <row r="17" spans="2:11" x14ac:dyDescent="0.25">
      <c r="B17" s="192"/>
      <c r="C17" s="192"/>
      <c r="D17" s="192"/>
      <c r="E17" s="192"/>
      <c r="F17" s="192"/>
      <c r="G17" s="192"/>
    </row>
    <row r="18" spans="2:11" ht="15.75" thickBot="1" x14ac:dyDescent="0.3"/>
    <row r="19" spans="2:11" ht="15.75" thickBot="1" x14ac:dyDescent="0.3">
      <c r="B19" s="199" t="s">
        <v>60</v>
      </c>
      <c r="C19" s="200"/>
      <c r="D19" s="113">
        <v>0.08</v>
      </c>
      <c r="F19" s="114" t="s">
        <v>65</v>
      </c>
      <c r="G19" s="115">
        <v>5</v>
      </c>
    </row>
    <row r="20" spans="2:11" ht="15.75" thickBot="1" x14ac:dyDescent="0.3">
      <c r="B20" s="171" t="s">
        <v>67</v>
      </c>
      <c r="C20" s="172"/>
      <c r="D20" s="89">
        <v>15000</v>
      </c>
    </row>
    <row r="21" spans="2:11" ht="15" customHeight="1" x14ac:dyDescent="0.25"/>
    <row r="22" spans="2:11" ht="15" customHeight="1" x14ac:dyDescent="0.25">
      <c r="B22" s="185" t="s">
        <v>61</v>
      </c>
      <c r="C22" s="185"/>
      <c r="D22" s="165"/>
      <c r="E22" s="165"/>
      <c r="F22" s="176" t="s">
        <v>154</v>
      </c>
      <c r="G22" s="176"/>
      <c r="H22" s="176"/>
    </row>
    <row r="23" spans="2:11" x14ac:dyDescent="0.25">
      <c r="F23" s="176"/>
      <c r="G23" s="176"/>
      <c r="H23" s="176"/>
    </row>
    <row r="24" spans="2:11" x14ac:dyDescent="0.25">
      <c r="B24" s="165" t="s">
        <v>68</v>
      </c>
      <c r="C24" s="165"/>
      <c r="D24" s="195">
        <f>D20*(1+D19)^G19</f>
        <v>22039.921152000006</v>
      </c>
      <c r="F24" s="176"/>
      <c r="G24" s="176"/>
      <c r="H24" s="176"/>
      <c r="I24" s="42"/>
      <c r="J24" s="42"/>
      <c r="K24" s="42"/>
    </row>
    <row r="25" spans="2:11" x14ac:dyDescent="0.25">
      <c r="B25" s="165" t="s">
        <v>63</v>
      </c>
      <c r="C25" s="165"/>
      <c r="D25" s="195"/>
      <c r="F25" s="176"/>
      <c r="G25" s="176"/>
      <c r="H25" s="176"/>
      <c r="I25" s="42"/>
      <c r="J25" s="42"/>
      <c r="K25" s="42"/>
    </row>
    <row r="26" spans="2:11" x14ac:dyDescent="0.25">
      <c r="F26" s="42"/>
      <c r="G26" s="42"/>
      <c r="H26" s="42"/>
      <c r="I26" s="42"/>
      <c r="J26" s="42"/>
      <c r="K26" s="42"/>
    </row>
  </sheetData>
  <mergeCells count="19">
    <mergeCell ref="F22:H25"/>
    <mergeCell ref="B24:C24"/>
    <mergeCell ref="B25:C25"/>
    <mergeCell ref="D24:D25"/>
    <mergeCell ref="B19:C19"/>
    <mergeCell ref="B20:C20"/>
    <mergeCell ref="B22:C22"/>
    <mergeCell ref="D22:E22"/>
    <mergeCell ref="F7:G7"/>
    <mergeCell ref="D12:D13"/>
    <mergeCell ref="B16:G17"/>
    <mergeCell ref="B3:I3"/>
    <mergeCell ref="B4:F5"/>
    <mergeCell ref="B7:C7"/>
    <mergeCell ref="B9:C10"/>
    <mergeCell ref="D9:E10"/>
    <mergeCell ref="F10:H13"/>
    <mergeCell ref="B12:C12"/>
    <mergeCell ref="B13:C1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topLeftCell="A30" workbookViewId="0">
      <selection activeCell="E52" sqref="E52"/>
    </sheetView>
  </sheetViews>
  <sheetFormatPr baseColWidth="10" defaultRowHeight="15" x14ac:dyDescent="0.25"/>
  <cols>
    <col min="2" max="2" width="12.5703125" customWidth="1"/>
    <col min="5" max="5" width="12.5703125" bestFit="1" customWidth="1"/>
  </cols>
  <sheetData>
    <row r="3" spans="1:10" ht="15.75" x14ac:dyDescent="0.25">
      <c r="A3" s="34" t="s">
        <v>69</v>
      </c>
      <c r="B3" s="202" t="s">
        <v>70</v>
      </c>
      <c r="C3" s="202"/>
    </row>
    <row r="4" spans="1:10" x14ac:dyDescent="0.25">
      <c r="B4" s="203" t="s">
        <v>76</v>
      </c>
      <c r="C4" s="203"/>
      <c r="D4" s="203"/>
      <c r="E4" s="203"/>
      <c r="G4" s="165" t="s">
        <v>77</v>
      </c>
      <c r="H4" s="165"/>
    </row>
    <row r="5" spans="1:10" x14ac:dyDescent="0.25">
      <c r="B5" s="203"/>
      <c r="C5" s="203"/>
      <c r="D5" s="203"/>
      <c r="E5" s="203"/>
      <c r="G5" s="165"/>
      <c r="H5" s="165"/>
      <c r="I5" s="165"/>
    </row>
    <row r="6" spans="1:10" ht="15.75" thickBot="1" x14ac:dyDescent="0.3">
      <c r="G6" s="165"/>
      <c r="H6" s="165"/>
      <c r="I6" s="165"/>
    </row>
    <row r="7" spans="1:10" ht="15.75" thickBot="1" x14ac:dyDescent="0.3">
      <c r="B7" s="118" t="s">
        <v>71</v>
      </c>
      <c r="C7" s="119">
        <v>0.15</v>
      </c>
      <c r="E7" t="s">
        <v>78</v>
      </c>
      <c r="G7" s="165"/>
      <c r="H7" s="165"/>
      <c r="I7" s="165"/>
    </row>
    <row r="8" spans="1:10" ht="15.75" thickBot="1" x14ac:dyDescent="0.3">
      <c r="B8" s="122" t="s">
        <v>72</v>
      </c>
      <c r="C8" s="89">
        <v>300000</v>
      </c>
      <c r="E8" s="43">
        <f>FV(C7,C9,,-C8)</f>
        <v>603407.15624999977</v>
      </c>
    </row>
    <row r="9" spans="1:10" ht="15.75" thickBot="1" x14ac:dyDescent="0.3">
      <c r="B9" s="123" t="s">
        <v>73</v>
      </c>
      <c r="C9" s="124">
        <v>5</v>
      </c>
    </row>
    <row r="11" spans="1:10" ht="15" customHeight="1" x14ac:dyDescent="0.25">
      <c r="B11" s="37" t="s">
        <v>74</v>
      </c>
      <c r="C11" s="37" t="s">
        <v>47</v>
      </c>
      <c r="D11" s="37" t="s">
        <v>53</v>
      </c>
      <c r="F11" s="164" t="s">
        <v>155</v>
      </c>
      <c r="G11" s="164"/>
      <c r="H11" s="164"/>
      <c r="I11" s="42"/>
      <c r="J11" s="42"/>
    </row>
    <row r="12" spans="1:10" x14ac:dyDescent="0.25">
      <c r="B12" s="8">
        <v>0</v>
      </c>
      <c r="C12" s="12"/>
      <c r="D12" s="12">
        <v>300000</v>
      </c>
      <c r="F12" s="164"/>
      <c r="G12" s="164"/>
      <c r="H12" s="164"/>
      <c r="I12" s="42"/>
      <c r="J12" s="42"/>
    </row>
    <row r="13" spans="1:10" x14ac:dyDescent="0.25">
      <c r="B13" s="8">
        <v>1</v>
      </c>
      <c r="C13" s="12">
        <f>$C$7*D12</f>
        <v>45000</v>
      </c>
      <c r="D13" s="12">
        <f>D12+C13</f>
        <v>345000</v>
      </c>
      <c r="F13" s="164"/>
      <c r="G13" s="164"/>
      <c r="H13" s="164"/>
      <c r="I13" s="42"/>
      <c r="J13" s="42"/>
    </row>
    <row r="14" spans="1:10" x14ac:dyDescent="0.25">
      <c r="B14" s="8">
        <v>2</v>
      </c>
      <c r="C14" s="12">
        <f t="shared" ref="C14:C17" si="0">$C$7*D13</f>
        <v>51750</v>
      </c>
      <c r="D14" s="12">
        <f t="shared" ref="D14:D16" si="1">D13+C14</f>
        <v>396750</v>
      </c>
      <c r="F14" s="164"/>
      <c r="G14" s="164"/>
      <c r="H14" s="164"/>
      <c r="I14" s="42"/>
      <c r="J14" s="42"/>
    </row>
    <row r="15" spans="1:10" x14ac:dyDescent="0.25">
      <c r="B15" s="8">
        <v>3</v>
      </c>
      <c r="C15" s="12">
        <f t="shared" si="0"/>
        <v>59512.5</v>
      </c>
      <c r="D15" s="12">
        <f t="shared" si="1"/>
        <v>456262.5</v>
      </c>
      <c r="F15" s="42"/>
      <c r="G15" s="42"/>
      <c r="H15" s="42"/>
      <c r="I15" s="42"/>
      <c r="J15" s="42"/>
    </row>
    <row r="16" spans="1:10" x14ac:dyDescent="0.25">
      <c r="B16" s="8">
        <v>4</v>
      </c>
      <c r="C16" s="12">
        <f t="shared" si="0"/>
        <v>68439.375</v>
      </c>
      <c r="D16" s="12">
        <f t="shared" si="1"/>
        <v>524701.875</v>
      </c>
      <c r="F16" s="42"/>
      <c r="G16" s="42"/>
      <c r="H16" s="42"/>
      <c r="I16" s="42"/>
      <c r="J16" s="42"/>
    </row>
    <row r="17" spans="2:10" x14ac:dyDescent="0.25">
      <c r="B17" s="8">
        <v>5</v>
      </c>
      <c r="C17" s="12">
        <f t="shared" si="0"/>
        <v>78705.28125</v>
      </c>
      <c r="D17" s="41">
        <f>D16+C17</f>
        <v>603407.15625</v>
      </c>
      <c r="F17" s="42"/>
      <c r="G17" s="42"/>
      <c r="H17" s="42"/>
      <c r="I17" s="42"/>
      <c r="J17" s="42"/>
    </row>
    <row r="20" spans="2:10" ht="15" customHeight="1" x14ac:dyDescent="0.25">
      <c r="B20" s="201" t="s">
        <v>75</v>
      </c>
      <c r="C20" s="201"/>
      <c r="D20" s="201"/>
      <c r="E20" s="201"/>
    </row>
    <row r="21" spans="2:10" x14ac:dyDescent="0.25">
      <c r="B21" s="201"/>
      <c r="C21" s="201"/>
      <c r="D21" s="201"/>
      <c r="E21" s="201"/>
    </row>
    <row r="22" spans="2:10" ht="15.75" thickBot="1" x14ac:dyDescent="0.3">
      <c r="B22" s="42"/>
      <c r="C22" s="42"/>
      <c r="D22" s="42"/>
      <c r="E22" s="42"/>
    </row>
    <row r="23" spans="2:10" ht="15.75" thickBot="1" x14ac:dyDescent="0.3">
      <c r="B23" s="123" t="s">
        <v>72</v>
      </c>
      <c r="C23" s="125">
        <v>300000</v>
      </c>
      <c r="E23" s="120" t="s">
        <v>63</v>
      </c>
      <c r="F23" s="121">
        <v>500000</v>
      </c>
    </row>
    <row r="24" spans="2:10" ht="15.75" thickBot="1" x14ac:dyDescent="0.3">
      <c r="B24" s="122" t="s">
        <v>73</v>
      </c>
      <c r="C24" s="126">
        <v>5</v>
      </c>
    </row>
    <row r="25" spans="2:10" x14ac:dyDescent="0.25">
      <c r="E25" s="81"/>
      <c r="F25" s="81"/>
      <c r="G25" s="81"/>
      <c r="H25" s="81"/>
      <c r="I25" s="81"/>
      <c r="J25" s="81"/>
    </row>
    <row r="26" spans="2:10" x14ac:dyDescent="0.25">
      <c r="B26" t="s">
        <v>47</v>
      </c>
      <c r="C26" s="116">
        <f>RATE(C24,,-C23,F23)</f>
        <v>0.1075663432482912</v>
      </c>
      <c r="D26" t="s">
        <v>156</v>
      </c>
      <c r="E26" s="117">
        <v>0.10756634324828356</v>
      </c>
      <c r="F26" s="81"/>
      <c r="G26" s="81"/>
      <c r="H26" s="81"/>
      <c r="I26" s="81"/>
      <c r="J26" s="81"/>
    </row>
    <row r="27" spans="2:10" x14ac:dyDescent="0.25">
      <c r="E27" s="81"/>
      <c r="F27" s="81"/>
      <c r="G27" s="81"/>
      <c r="H27" s="81"/>
      <c r="I27" s="81"/>
      <c r="J27" s="81"/>
    </row>
    <row r="28" spans="2:10" x14ac:dyDescent="0.25">
      <c r="B28" s="75" t="s">
        <v>74</v>
      </c>
      <c r="C28" s="75" t="s">
        <v>47</v>
      </c>
      <c r="D28" s="75" t="s">
        <v>53</v>
      </c>
      <c r="E28" s="81"/>
      <c r="F28" s="81"/>
      <c r="G28" s="81"/>
      <c r="H28" s="81"/>
      <c r="I28" s="81"/>
      <c r="J28" s="81"/>
    </row>
    <row r="29" spans="2:10" x14ac:dyDescent="0.25">
      <c r="B29" s="76">
        <v>0</v>
      </c>
      <c r="C29" s="12"/>
      <c r="D29" s="12">
        <v>300000</v>
      </c>
      <c r="E29" s="81"/>
      <c r="F29" s="164" t="s">
        <v>157</v>
      </c>
      <c r="G29" s="164"/>
      <c r="H29" s="164"/>
      <c r="I29" s="81"/>
      <c r="J29" s="81"/>
    </row>
    <row r="30" spans="2:10" x14ac:dyDescent="0.25">
      <c r="B30" s="76">
        <v>1</v>
      </c>
      <c r="C30" s="12">
        <f>$E$26*D29</f>
        <v>32269.902974485067</v>
      </c>
      <c r="D30" s="12">
        <f>D29+C30</f>
        <v>332269.90297448507</v>
      </c>
      <c r="E30" s="81"/>
      <c r="F30" s="164"/>
      <c r="G30" s="164"/>
      <c r="H30" s="164"/>
      <c r="I30" s="81"/>
      <c r="J30" s="81"/>
    </row>
    <row r="31" spans="2:10" x14ac:dyDescent="0.25">
      <c r="B31" s="76">
        <v>2</v>
      </c>
      <c r="C31" s="12">
        <f t="shared" ref="C31:C34" si="2">$E$26*D30</f>
        <v>35741.058434427337</v>
      </c>
      <c r="D31" s="12">
        <f t="shared" ref="D31:D34" si="3">D30+C31</f>
        <v>368010.96140891244</v>
      </c>
      <c r="E31" s="81"/>
      <c r="F31" s="164"/>
      <c r="G31" s="164"/>
      <c r="H31" s="164"/>
      <c r="I31" s="81"/>
      <c r="J31" s="81"/>
    </row>
    <row r="32" spans="2:10" x14ac:dyDescent="0.25">
      <c r="B32" s="76">
        <v>3</v>
      </c>
      <c r="C32" s="12">
        <f t="shared" si="2"/>
        <v>39585.593394041905</v>
      </c>
      <c r="D32" s="12">
        <f t="shared" si="3"/>
        <v>407596.55480295431</v>
      </c>
      <c r="E32" s="81"/>
      <c r="F32" s="81"/>
      <c r="G32" s="81"/>
      <c r="H32" s="81"/>
      <c r="I32" s="81"/>
      <c r="J32" s="81"/>
    </row>
    <row r="33" spans="2:10" x14ac:dyDescent="0.25">
      <c r="B33" s="76">
        <v>4</v>
      </c>
      <c r="C33" s="12">
        <f t="shared" si="2"/>
        <v>43843.670920752404</v>
      </c>
      <c r="D33" s="12">
        <f t="shared" si="3"/>
        <v>451440.22572370671</v>
      </c>
      <c r="E33" s="81"/>
      <c r="F33" s="81"/>
      <c r="G33" s="81"/>
      <c r="H33" s="81"/>
      <c r="I33" s="81"/>
      <c r="J33" s="81"/>
    </row>
    <row r="34" spans="2:10" x14ac:dyDescent="0.25">
      <c r="B34" s="76">
        <v>5</v>
      </c>
      <c r="C34" s="12">
        <f t="shared" si="2"/>
        <v>48559.77427627884</v>
      </c>
      <c r="D34" s="12">
        <f t="shared" si="3"/>
        <v>499999.99999998556</v>
      </c>
      <c r="E34" s="81"/>
      <c r="F34" s="81"/>
      <c r="G34" s="81"/>
      <c r="H34" s="81"/>
      <c r="I34" s="81"/>
      <c r="J34" s="81"/>
    </row>
    <row r="35" spans="2:10" x14ac:dyDescent="0.25">
      <c r="E35" s="81"/>
      <c r="F35" s="81"/>
      <c r="G35" s="81"/>
      <c r="H35" s="81"/>
      <c r="I35" s="81"/>
      <c r="J35" s="81"/>
    </row>
    <row r="37" spans="2:10" x14ac:dyDescent="0.25">
      <c r="B37" s="201" t="s">
        <v>79</v>
      </c>
      <c r="C37" s="201"/>
      <c r="D37" s="201"/>
      <c r="E37" s="201"/>
    </row>
    <row r="38" spans="2:10" x14ac:dyDescent="0.25">
      <c r="B38" s="201"/>
      <c r="C38" s="201"/>
      <c r="D38" s="201"/>
      <c r="E38" s="201"/>
    </row>
    <row r="39" spans="2:10" ht="15.75" thickBot="1" x14ac:dyDescent="0.3"/>
    <row r="40" spans="2:10" ht="15.75" thickBot="1" x14ac:dyDescent="0.3">
      <c r="B40" s="120" t="s">
        <v>72</v>
      </c>
      <c r="C40" s="121">
        <v>300000</v>
      </c>
      <c r="E40" s="122" t="s">
        <v>78</v>
      </c>
      <c r="F40" s="89">
        <v>600000</v>
      </c>
    </row>
    <row r="41" spans="2:10" ht="15.75" thickBot="1" x14ac:dyDescent="0.3">
      <c r="B41" s="123" t="s">
        <v>74</v>
      </c>
      <c r="C41" s="124">
        <v>5</v>
      </c>
    </row>
    <row r="42" spans="2:10" x14ac:dyDescent="0.25">
      <c r="E42" s="81"/>
      <c r="F42" s="81"/>
      <c r="G42" s="81"/>
      <c r="H42" s="81"/>
      <c r="I42" s="81"/>
      <c r="J42" s="81"/>
    </row>
    <row r="43" spans="2:10" x14ac:dyDescent="0.25">
      <c r="B43" t="s">
        <v>47</v>
      </c>
      <c r="C43" s="116">
        <f>RATE(C41,,-C40,F40)</f>
        <v>0.14869835499702141</v>
      </c>
      <c r="D43" t="s">
        <v>156</v>
      </c>
      <c r="E43" s="117">
        <v>0.14869835499656309</v>
      </c>
      <c r="F43" s="81"/>
      <c r="G43" s="81"/>
      <c r="H43" s="81"/>
      <c r="I43" s="81"/>
      <c r="J43" s="81"/>
    </row>
    <row r="44" spans="2:10" x14ac:dyDescent="0.25">
      <c r="E44" s="81"/>
      <c r="F44" s="81"/>
      <c r="G44" s="81"/>
      <c r="H44" s="81"/>
      <c r="I44" s="81"/>
      <c r="J44" s="81"/>
    </row>
    <row r="45" spans="2:10" x14ac:dyDescent="0.25">
      <c r="B45" s="75" t="s">
        <v>74</v>
      </c>
      <c r="C45" s="75" t="s">
        <v>47</v>
      </c>
      <c r="D45" s="75" t="s">
        <v>53</v>
      </c>
      <c r="E45" s="81"/>
      <c r="F45" s="81"/>
      <c r="G45" s="81"/>
      <c r="H45" s="81"/>
      <c r="I45" s="81"/>
      <c r="J45" s="81"/>
    </row>
    <row r="46" spans="2:10" x14ac:dyDescent="0.25">
      <c r="B46" s="76">
        <v>0</v>
      </c>
      <c r="C46" s="12"/>
      <c r="D46" s="12">
        <v>300000</v>
      </c>
      <c r="F46" s="180" t="s">
        <v>158</v>
      </c>
      <c r="G46" s="180"/>
      <c r="H46" s="180"/>
    </row>
    <row r="47" spans="2:10" x14ac:dyDescent="0.25">
      <c r="B47" s="76">
        <v>1</v>
      </c>
      <c r="C47" s="12">
        <f>$E$43*D46</f>
        <v>44609.506498968927</v>
      </c>
      <c r="D47" s="12">
        <f>D46+C47</f>
        <v>344609.50649896893</v>
      </c>
      <c r="F47" s="180"/>
      <c r="G47" s="180"/>
      <c r="H47" s="180"/>
    </row>
    <row r="48" spans="2:10" x14ac:dyDescent="0.25">
      <c r="B48" s="76">
        <v>2</v>
      </c>
      <c r="C48" s="12">
        <f t="shared" ref="C48:C51" si="4">$E$43*D47</f>
        <v>51242.866732574097</v>
      </c>
      <c r="D48" s="12">
        <f t="shared" ref="D48:D51" si="5">D47+C48</f>
        <v>395852.373231543</v>
      </c>
      <c r="F48" s="180"/>
      <c r="G48" s="180"/>
      <c r="H48" s="180"/>
    </row>
    <row r="49" spans="2:4" x14ac:dyDescent="0.25">
      <c r="B49" s="76">
        <v>3</v>
      </c>
      <c r="C49" s="12">
        <f t="shared" si="4"/>
        <v>58862.596721015965</v>
      </c>
      <c r="D49" s="12">
        <f t="shared" si="5"/>
        <v>454714.96995255898</v>
      </c>
    </row>
    <row r="50" spans="2:4" x14ac:dyDescent="0.25">
      <c r="B50" s="76">
        <v>4</v>
      </c>
      <c r="C50" s="12">
        <f t="shared" si="4"/>
        <v>67615.368024257128</v>
      </c>
      <c r="D50" s="12">
        <f t="shared" si="5"/>
        <v>522330.33797681611</v>
      </c>
    </row>
    <row r="51" spans="2:4" x14ac:dyDescent="0.25">
      <c r="B51" s="76">
        <v>5</v>
      </c>
      <c r="C51" s="12">
        <f t="shared" si="4"/>
        <v>77669.662021951386</v>
      </c>
      <c r="D51" s="12">
        <f t="shared" si="5"/>
        <v>599999.99999876751</v>
      </c>
    </row>
  </sheetData>
  <mergeCells count="11">
    <mergeCell ref="I5:I7"/>
    <mergeCell ref="F11:H14"/>
    <mergeCell ref="F29:H31"/>
    <mergeCell ref="F46:H48"/>
    <mergeCell ref="B37:E38"/>
    <mergeCell ref="B3:C3"/>
    <mergeCell ref="B4:E5"/>
    <mergeCell ref="B20:E21"/>
    <mergeCell ref="G4:H4"/>
    <mergeCell ref="G5:H5"/>
    <mergeCell ref="G6:H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2" workbookViewId="0">
      <selection activeCell="I5" sqref="I5:M7"/>
    </sheetView>
  </sheetViews>
  <sheetFormatPr baseColWidth="10" defaultRowHeight="15" x14ac:dyDescent="0.25"/>
  <cols>
    <col min="3" max="3" width="10.28515625" customWidth="1"/>
    <col min="5" max="5" width="14.140625" bestFit="1" customWidth="1"/>
    <col min="6" max="6" width="12.28515625" bestFit="1" customWidth="1"/>
  </cols>
  <sheetData>
    <row r="1" spans="1:13" ht="26.25" x14ac:dyDescent="0.4">
      <c r="B1" s="161" t="s">
        <v>174</v>
      </c>
      <c r="C1" s="161"/>
      <c r="D1" s="161"/>
      <c r="E1" s="161"/>
    </row>
    <row r="2" spans="1:13" ht="15.75" customHeight="1" x14ac:dyDescent="0.25">
      <c r="A2" s="34" t="s">
        <v>80</v>
      </c>
      <c r="B2" s="176" t="s">
        <v>81</v>
      </c>
      <c r="C2" s="176"/>
      <c r="D2" s="176"/>
      <c r="E2" s="176"/>
      <c r="F2" s="176"/>
      <c r="G2" s="176"/>
    </row>
    <row r="3" spans="1:13" x14ac:dyDescent="0.25">
      <c r="B3" s="176"/>
      <c r="C3" s="176"/>
      <c r="D3" s="176"/>
      <c r="E3" s="176"/>
      <c r="F3" s="176"/>
      <c r="G3" s="176"/>
    </row>
    <row r="4" spans="1:13" x14ac:dyDescent="0.25">
      <c r="B4" s="176"/>
      <c r="C4" s="176"/>
      <c r="D4" s="176"/>
      <c r="E4" s="176"/>
      <c r="F4" s="176"/>
      <c r="G4" s="176"/>
    </row>
    <row r="5" spans="1:13" ht="15" customHeight="1" x14ac:dyDescent="0.25">
      <c r="B5" s="176"/>
      <c r="C5" s="176"/>
      <c r="D5" s="176"/>
      <c r="E5" s="176"/>
      <c r="F5" s="176"/>
      <c r="G5" s="176"/>
      <c r="I5" s="164" t="s">
        <v>354</v>
      </c>
      <c r="J5" s="164"/>
      <c r="K5" s="164"/>
      <c r="L5" s="164"/>
      <c r="M5" s="164"/>
    </row>
    <row r="6" spans="1:13" ht="15.75" customHeight="1" thickBot="1" x14ac:dyDescent="0.3">
      <c r="I6" s="164"/>
      <c r="J6" s="164"/>
      <c r="K6" s="164"/>
      <c r="L6" s="164"/>
      <c r="M6" s="164"/>
    </row>
    <row r="7" spans="1:13" ht="15.75" thickBot="1" x14ac:dyDescent="0.3">
      <c r="B7" s="122" t="s">
        <v>84</v>
      </c>
      <c r="C7" s="127">
        <v>0.1</v>
      </c>
      <c r="E7" s="353" t="s">
        <v>64</v>
      </c>
      <c r="F7" s="354">
        <v>-0.96219436460584973</v>
      </c>
      <c r="I7" s="164"/>
      <c r="J7" s="164"/>
      <c r="K7" s="164"/>
      <c r="L7" s="164"/>
      <c r="M7" s="164"/>
    </row>
    <row r="8" spans="1:13" x14ac:dyDescent="0.25">
      <c r="I8" s="67"/>
      <c r="J8" s="67"/>
      <c r="K8" s="67"/>
      <c r="L8" s="67"/>
    </row>
    <row r="9" spans="1:13" x14ac:dyDescent="0.25">
      <c r="B9" s="37" t="s">
        <v>31</v>
      </c>
      <c r="C9" s="37" t="s">
        <v>131</v>
      </c>
      <c r="D9" s="37" t="s">
        <v>159</v>
      </c>
      <c r="E9" s="37" t="s">
        <v>82</v>
      </c>
      <c r="F9" s="37" t="s">
        <v>83</v>
      </c>
    </row>
    <row r="10" spans="1:13" x14ac:dyDescent="0.25">
      <c r="B10" s="8">
        <v>0</v>
      </c>
      <c r="C10" s="130">
        <f>D10-E10</f>
        <v>0.96219436460584973</v>
      </c>
      <c r="D10" s="44"/>
      <c r="E10" s="355">
        <f>F7</f>
        <v>-0.96219436460584973</v>
      </c>
      <c r="F10" s="45">
        <f t="shared" ref="F10:F22" si="0">PV($C$7,B10,,-E10)</f>
        <v>-0.96219436460584973</v>
      </c>
      <c r="H10" s="165"/>
      <c r="I10" s="165"/>
      <c r="J10" s="165"/>
      <c r="K10" s="165"/>
      <c r="L10" s="165"/>
      <c r="M10" s="165"/>
    </row>
    <row r="11" spans="1:13" x14ac:dyDescent="0.25">
      <c r="B11" s="8">
        <v>1</v>
      </c>
      <c r="C11" s="44">
        <v>20</v>
      </c>
      <c r="D11" s="44"/>
      <c r="E11" s="44">
        <f t="shared" ref="E10:E22" si="1">D11-C11</f>
        <v>-20</v>
      </c>
      <c r="F11" s="45">
        <f t="shared" si="0"/>
        <v>-18.18181818181818</v>
      </c>
      <c r="H11" s="165"/>
      <c r="I11" s="165"/>
      <c r="J11" s="165"/>
      <c r="K11" s="165"/>
      <c r="L11" s="165"/>
      <c r="M11" s="165"/>
    </row>
    <row r="12" spans="1:13" x14ac:dyDescent="0.25">
      <c r="B12" s="8">
        <v>2</v>
      </c>
      <c r="C12" s="44"/>
      <c r="D12" s="44"/>
      <c r="E12" s="44">
        <f t="shared" si="1"/>
        <v>0</v>
      </c>
      <c r="F12" s="45">
        <f t="shared" si="0"/>
        <v>0</v>
      </c>
      <c r="H12" s="165"/>
      <c r="I12" s="165"/>
      <c r="J12" s="165"/>
      <c r="K12" s="165"/>
      <c r="L12" s="165"/>
      <c r="M12" s="165"/>
    </row>
    <row r="13" spans="1:13" x14ac:dyDescent="0.25">
      <c r="B13" s="8">
        <v>3</v>
      </c>
      <c r="C13" s="44"/>
      <c r="D13" s="44">
        <v>20</v>
      </c>
      <c r="E13" s="44">
        <f t="shared" si="1"/>
        <v>20</v>
      </c>
      <c r="F13" s="45">
        <f t="shared" si="0"/>
        <v>15.02629601803155</v>
      </c>
      <c r="H13" s="165"/>
      <c r="I13" s="165"/>
      <c r="J13" s="165"/>
      <c r="K13" s="165"/>
      <c r="L13" s="165"/>
      <c r="M13" s="165"/>
    </row>
    <row r="14" spans="1:13" x14ac:dyDescent="0.25">
      <c r="B14" s="8">
        <v>4</v>
      </c>
      <c r="C14" s="44"/>
      <c r="D14" s="44">
        <v>40</v>
      </c>
      <c r="E14" s="44">
        <f t="shared" si="1"/>
        <v>40</v>
      </c>
      <c r="F14" s="45">
        <f t="shared" si="0"/>
        <v>27.32053821460282</v>
      </c>
      <c r="H14" s="165"/>
      <c r="I14" s="165"/>
      <c r="J14" s="165"/>
      <c r="K14" s="165"/>
      <c r="L14" s="165"/>
      <c r="M14" s="165"/>
    </row>
    <row r="15" spans="1:13" x14ac:dyDescent="0.25">
      <c r="B15" s="8">
        <v>5</v>
      </c>
      <c r="C15" s="44"/>
      <c r="D15" s="44">
        <v>60</v>
      </c>
      <c r="E15" s="44">
        <f t="shared" si="1"/>
        <v>60</v>
      </c>
      <c r="F15" s="45">
        <f t="shared" si="0"/>
        <v>37.255279383549301</v>
      </c>
      <c r="H15" s="165"/>
      <c r="I15" s="165"/>
      <c r="J15" s="165"/>
      <c r="K15" s="165"/>
      <c r="L15" s="165"/>
      <c r="M15" s="165"/>
    </row>
    <row r="16" spans="1:13" x14ac:dyDescent="0.25">
      <c r="B16" s="8">
        <v>6</v>
      </c>
      <c r="C16" s="44">
        <v>20</v>
      </c>
      <c r="D16" s="44"/>
      <c r="E16" s="44">
        <f t="shared" si="1"/>
        <v>-20</v>
      </c>
      <c r="F16" s="45">
        <f t="shared" si="0"/>
        <v>-11.289478601075544</v>
      </c>
      <c r="H16" s="165"/>
      <c r="I16" s="165"/>
      <c r="J16" s="165"/>
      <c r="K16" s="165"/>
      <c r="L16" s="165"/>
      <c r="M16" s="165"/>
    </row>
    <row r="17" spans="2:13" x14ac:dyDescent="0.25">
      <c r="B17" s="8">
        <v>7</v>
      </c>
      <c r="C17" s="44">
        <v>20</v>
      </c>
      <c r="D17" s="44"/>
      <c r="E17" s="44">
        <f t="shared" si="1"/>
        <v>-20</v>
      </c>
      <c r="F17" s="45">
        <f t="shared" si="0"/>
        <v>-10.263162364614129</v>
      </c>
      <c r="H17" s="165"/>
      <c r="I17" s="165"/>
      <c r="J17" s="165"/>
      <c r="K17" s="165"/>
      <c r="L17" s="165"/>
      <c r="M17" s="165"/>
    </row>
    <row r="18" spans="2:13" x14ac:dyDescent="0.25">
      <c r="B18" s="8">
        <v>8</v>
      </c>
      <c r="C18" s="44">
        <v>20</v>
      </c>
      <c r="D18" s="44"/>
      <c r="E18" s="44">
        <f t="shared" si="1"/>
        <v>-20</v>
      </c>
      <c r="F18" s="45">
        <f t="shared" si="0"/>
        <v>-9.3301476041946643</v>
      </c>
      <c r="H18" s="165"/>
      <c r="I18" s="165"/>
      <c r="J18" s="165"/>
      <c r="K18" s="165"/>
      <c r="L18" s="165"/>
      <c r="M18" s="165"/>
    </row>
    <row r="19" spans="2:13" x14ac:dyDescent="0.25">
      <c r="B19" s="8">
        <v>9</v>
      </c>
      <c r="C19" s="44">
        <v>20</v>
      </c>
      <c r="D19" s="44"/>
      <c r="E19" s="44">
        <f t="shared" si="1"/>
        <v>-20</v>
      </c>
      <c r="F19" s="45">
        <f t="shared" si="0"/>
        <v>-8.4819523674496935</v>
      </c>
      <c r="H19" s="165"/>
      <c r="I19" s="165"/>
      <c r="J19" s="165"/>
      <c r="K19" s="165"/>
      <c r="L19" s="165"/>
      <c r="M19" s="165"/>
    </row>
    <row r="20" spans="2:13" x14ac:dyDescent="0.25">
      <c r="B20" s="8">
        <v>10</v>
      </c>
      <c r="C20" s="44">
        <v>60</v>
      </c>
      <c r="D20" s="44">
        <v>40</v>
      </c>
      <c r="E20" s="44">
        <f t="shared" si="1"/>
        <v>-20</v>
      </c>
      <c r="F20" s="45">
        <f t="shared" si="0"/>
        <v>-7.7108657885906293</v>
      </c>
      <c r="H20" s="165"/>
      <c r="I20" s="165"/>
      <c r="J20" s="165"/>
      <c r="K20" s="165"/>
      <c r="L20" s="165"/>
      <c r="M20" s="165"/>
    </row>
    <row r="21" spans="2:13" x14ac:dyDescent="0.25">
      <c r="B21" s="8">
        <v>11</v>
      </c>
      <c r="C21" s="44">
        <v>60</v>
      </c>
      <c r="D21" s="44">
        <v>40</v>
      </c>
      <c r="E21" s="44">
        <f t="shared" si="1"/>
        <v>-20</v>
      </c>
      <c r="F21" s="45">
        <f t="shared" si="0"/>
        <v>-7.009877989627844</v>
      </c>
      <c r="H21" s="165"/>
      <c r="I21" s="165"/>
      <c r="J21" s="165"/>
      <c r="K21" s="165"/>
      <c r="L21" s="165"/>
      <c r="M21" s="165"/>
    </row>
    <row r="22" spans="2:13" x14ac:dyDescent="0.25">
      <c r="B22" s="8">
        <v>12</v>
      </c>
      <c r="C22" s="44">
        <v>60</v>
      </c>
      <c r="D22" s="44">
        <v>40</v>
      </c>
      <c r="E22" s="44">
        <f t="shared" si="1"/>
        <v>-20</v>
      </c>
      <c r="F22" s="45">
        <f t="shared" si="0"/>
        <v>-6.372616354207131</v>
      </c>
      <c r="H22" s="165"/>
      <c r="I22" s="165"/>
      <c r="J22" s="165"/>
      <c r="K22" s="165"/>
      <c r="L22" s="165"/>
      <c r="M22" s="165"/>
    </row>
    <row r="23" spans="2:13" x14ac:dyDescent="0.25">
      <c r="F23" s="278">
        <f>SUM(F10:F22)</f>
        <v>1.1546319456101628E-14</v>
      </c>
      <c r="H23" s="165"/>
      <c r="I23" s="165"/>
      <c r="J23" s="165"/>
      <c r="K23" s="165"/>
      <c r="L23" s="165"/>
      <c r="M23" s="165"/>
    </row>
    <row r="24" spans="2:13" x14ac:dyDescent="0.25">
      <c r="H24" s="165"/>
      <c r="I24" s="165"/>
      <c r="J24" s="165"/>
      <c r="K24" s="165"/>
      <c r="L24" s="165"/>
      <c r="M24" s="165"/>
    </row>
    <row r="25" spans="2:13" x14ac:dyDescent="0.25">
      <c r="H25" s="165"/>
      <c r="I25" s="165"/>
      <c r="J25" s="165"/>
      <c r="K25" s="165"/>
      <c r="L25" s="165"/>
      <c r="M25" s="165"/>
    </row>
  </sheetData>
  <mergeCells count="4">
    <mergeCell ref="B1:E1"/>
    <mergeCell ref="B2:G5"/>
    <mergeCell ref="H10:M25"/>
    <mergeCell ref="I5:M7"/>
  </mergeCells>
  <pageMargins left="0.7" right="0.7" top="0.75" bottom="0.75" header="0.3" footer="0.3"/>
  <pageSetup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topLeftCell="A4" workbookViewId="0">
      <selection activeCell="A17" sqref="A17:L34"/>
    </sheetView>
  </sheetViews>
  <sheetFormatPr baseColWidth="10" defaultRowHeight="15" x14ac:dyDescent="0.25"/>
  <sheetData>
    <row r="2" spans="1:12" ht="15.75" customHeight="1" x14ac:dyDescent="0.25">
      <c r="A2" s="34" t="s">
        <v>85</v>
      </c>
      <c r="B2" s="176" t="s">
        <v>86</v>
      </c>
      <c r="C2" s="176"/>
      <c r="D2" s="176"/>
      <c r="E2" s="176"/>
      <c r="F2" s="176"/>
      <c r="G2" s="176"/>
      <c r="H2" s="176"/>
      <c r="I2" s="176"/>
      <c r="J2" s="176"/>
    </row>
    <row r="3" spans="1:12" x14ac:dyDescent="0.25">
      <c r="B3" s="176"/>
      <c r="C3" s="176"/>
      <c r="D3" s="176"/>
      <c r="E3" s="176"/>
      <c r="F3" s="176"/>
      <c r="G3" s="176"/>
      <c r="H3" s="176"/>
      <c r="I3" s="176"/>
      <c r="J3" s="176"/>
    </row>
    <row r="4" spans="1:12" x14ac:dyDescent="0.25">
      <c r="B4" s="176"/>
      <c r="C4" s="176"/>
      <c r="D4" s="176"/>
      <c r="E4" s="176"/>
      <c r="F4" s="176"/>
      <c r="G4" s="176"/>
      <c r="H4" s="176"/>
      <c r="I4" s="176"/>
      <c r="J4" s="176"/>
    </row>
    <row r="5" spans="1:12" x14ac:dyDescent="0.25">
      <c r="B5" s="176"/>
      <c r="C5" s="176"/>
      <c r="D5" s="176"/>
      <c r="E5" s="176"/>
      <c r="F5" s="176"/>
      <c r="G5" s="176"/>
      <c r="H5" s="176"/>
      <c r="I5" s="176"/>
      <c r="J5" s="176"/>
    </row>
    <row r="6" spans="1:12" ht="15.75" thickBot="1" x14ac:dyDescent="0.3">
      <c r="B6" s="42"/>
      <c r="C6" s="42"/>
      <c r="D6" s="42"/>
      <c r="E6" s="42"/>
      <c r="F6" s="42"/>
      <c r="G6" s="42"/>
      <c r="H6" s="42"/>
      <c r="I6" s="42"/>
      <c r="J6" s="42"/>
    </row>
    <row r="7" spans="1:12" ht="15.75" thickBot="1" x14ac:dyDescent="0.3">
      <c r="C7" s="122" t="s">
        <v>84</v>
      </c>
      <c r="D7" s="127">
        <v>0.08</v>
      </c>
    </row>
    <row r="9" spans="1:12" x14ac:dyDescent="0.25">
      <c r="B9" s="44" t="s">
        <v>87</v>
      </c>
      <c r="C9" s="44" t="s">
        <v>88</v>
      </c>
      <c r="D9" s="44" t="s">
        <v>90</v>
      </c>
      <c r="E9" s="44" t="s">
        <v>91</v>
      </c>
      <c r="F9" s="44" t="s">
        <v>92</v>
      </c>
      <c r="G9" s="44" t="s">
        <v>93</v>
      </c>
      <c r="H9" s="44" t="s">
        <v>94</v>
      </c>
      <c r="I9" s="44" t="s">
        <v>95</v>
      </c>
      <c r="J9" s="44" t="s">
        <v>96</v>
      </c>
      <c r="K9" s="44" t="s">
        <v>97</v>
      </c>
      <c r="L9" s="44" t="s">
        <v>98</v>
      </c>
    </row>
    <row r="10" spans="1:12" x14ac:dyDescent="0.25">
      <c r="B10" s="8">
        <v>1000</v>
      </c>
      <c r="C10" s="46">
        <v>105.10745721222246</v>
      </c>
      <c r="D10" s="47">
        <f>C10+5</f>
        <v>110.10745721222246</v>
      </c>
      <c r="E10" s="47">
        <f t="shared" ref="E10:G10" si="0">D10+5</f>
        <v>115.10745721222246</v>
      </c>
      <c r="F10" s="47">
        <f t="shared" si="0"/>
        <v>120.10745721222246</v>
      </c>
      <c r="G10" s="47">
        <f t="shared" si="0"/>
        <v>125.10745721222246</v>
      </c>
      <c r="H10" s="8">
        <v>200</v>
      </c>
      <c r="I10" s="8">
        <v>200</v>
      </c>
      <c r="J10" s="8">
        <v>200</v>
      </c>
      <c r="K10" s="8">
        <v>200</v>
      </c>
      <c r="L10" s="8">
        <v>200</v>
      </c>
    </row>
    <row r="11" spans="1:12" x14ac:dyDescent="0.25">
      <c r="A11" s="44" t="s">
        <v>89</v>
      </c>
      <c r="B11" s="8">
        <v>0</v>
      </c>
      <c r="C11" s="8">
        <v>1</v>
      </c>
      <c r="D11" s="8">
        <v>2</v>
      </c>
      <c r="E11" s="8">
        <v>3</v>
      </c>
      <c r="F11" s="8">
        <v>4</v>
      </c>
      <c r="G11" s="8">
        <v>5</v>
      </c>
      <c r="H11" s="8">
        <v>6</v>
      </c>
      <c r="I11" s="8">
        <v>7</v>
      </c>
      <c r="J11" s="8">
        <v>8</v>
      </c>
      <c r="K11" s="8">
        <v>9</v>
      </c>
      <c r="L11" s="8">
        <v>10</v>
      </c>
    </row>
    <row r="12" spans="1:12" ht="30" customHeight="1" x14ac:dyDescent="0.25">
      <c r="A12" s="49" t="s">
        <v>99</v>
      </c>
      <c r="B12" s="48">
        <f>PV($D$7,B11,,-B10)</f>
        <v>1000</v>
      </c>
      <c r="C12" s="48">
        <f t="shared" ref="C12:L12" si="1">PV($D$7,C11,,-C10)</f>
        <v>97.321719640946711</v>
      </c>
      <c r="D12" s="48">
        <f t="shared" si="1"/>
        <v>94.399397472755865</v>
      </c>
      <c r="E12" s="48">
        <f t="shared" si="1"/>
        <v>91.376010716911836</v>
      </c>
      <c r="F12" s="48">
        <f t="shared" si="1"/>
        <v>88.282566594456185</v>
      </c>
      <c r="G12" s="48">
        <f t="shared" si="1"/>
        <v>85.146033202257826</v>
      </c>
      <c r="H12" s="48">
        <f t="shared" si="1"/>
        <v>126.03392537662091</v>
      </c>
      <c r="I12" s="48">
        <f t="shared" si="1"/>
        <v>116.69807905242676</v>
      </c>
      <c r="J12" s="48">
        <f t="shared" si="1"/>
        <v>108.05377690039515</v>
      </c>
      <c r="K12" s="48">
        <f t="shared" si="1"/>
        <v>100.0497934262918</v>
      </c>
      <c r="L12" s="48">
        <f t="shared" si="1"/>
        <v>92.638697616936852</v>
      </c>
    </row>
    <row r="13" spans="1:12" x14ac:dyDescent="0.25">
      <c r="L13" s="50">
        <f>SUM(C12:L12)</f>
        <v>999.99999999999989</v>
      </c>
    </row>
    <row r="14" spans="1:12" x14ac:dyDescent="0.25">
      <c r="B14" s="176" t="s">
        <v>160</v>
      </c>
      <c r="C14" s="176"/>
    </row>
    <row r="15" spans="1:12" x14ac:dyDescent="0.25">
      <c r="B15" s="176"/>
      <c r="C15" s="176"/>
      <c r="E15" s="81"/>
      <c r="F15" s="81"/>
      <c r="G15" s="81"/>
      <c r="H15" s="81"/>
      <c r="I15" s="81"/>
      <c r="J15" s="81"/>
      <c r="K15" s="81"/>
    </row>
    <row r="16" spans="1:12" x14ac:dyDescent="0.25">
      <c r="B16" s="55"/>
      <c r="C16" s="55"/>
      <c r="D16" s="55"/>
      <c r="E16" s="55"/>
      <c r="F16" s="55"/>
      <c r="G16" s="55"/>
      <c r="H16" s="55"/>
      <c r="I16" s="55"/>
      <c r="J16" s="55"/>
      <c r="K16" s="55"/>
    </row>
    <row r="17" spans="1:14" x14ac:dyDescent="0.25">
      <c r="A17" s="165"/>
      <c r="B17" s="165"/>
      <c r="C17" s="165"/>
      <c r="D17" s="165"/>
      <c r="E17" s="165"/>
      <c r="F17" s="165"/>
      <c r="G17" s="165"/>
      <c r="H17" s="165"/>
      <c r="I17" s="165"/>
      <c r="J17" s="165"/>
      <c r="K17" s="165"/>
      <c r="L17" s="165"/>
      <c r="M17" s="66"/>
      <c r="N17" s="66"/>
    </row>
    <row r="18" spans="1:14" x14ac:dyDescent="0.25">
      <c r="A18" s="165"/>
      <c r="B18" s="165"/>
      <c r="C18" s="165"/>
      <c r="D18" s="165"/>
      <c r="E18" s="165"/>
      <c r="F18" s="165"/>
      <c r="G18" s="165"/>
      <c r="H18" s="165"/>
      <c r="I18" s="165"/>
      <c r="J18" s="165"/>
      <c r="K18" s="165"/>
      <c r="L18" s="165"/>
      <c r="M18" s="66"/>
      <c r="N18" s="66"/>
    </row>
    <row r="19" spans="1:14" x14ac:dyDescent="0.25">
      <c r="A19" s="165"/>
      <c r="B19" s="165"/>
      <c r="C19" s="165"/>
      <c r="D19" s="165"/>
      <c r="E19" s="165"/>
      <c r="F19" s="165"/>
      <c r="G19" s="165"/>
      <c r="H19" s="165"/>
      <c r="I19" s="165"/>
      <c r="J19" s="165"/>
      <c r="K19" s="165"/>
      <c r="L19" s="165"/>
      <c r="M19" s="66"/>
      <c r="N19" s="66"/>
    </row>
    <row r="20" spans="1:14" x14ac:dyDescent="0.25">
      <c r="A20" s="165"/>
      <c r="B20" s="165"/>
      <c r="C20" s="165"/>
      <c r="D20" s="165"/>
      <c r="E20" s="165"/>
      <c r="F20" s="165"/>
      <c r="G20" s="165"/>
      <c r="H20" s="165"/>
      <c r="I20" s="165"/>
      <c r="J20" s="165"/>
      <c r="K20" s="165"/>
      <c r="L20" s="165"/>
      <c r="M20" s="66"/>
      <c r="N20" s="66"/>
    </row>
    <row r="21" spans="1:14" x14ac:dyDescent="0.25">
      <c r="A21" s="165"/>
      <c r="B21" s="165"/>
      <c r="C21" s="165"/>
      <c r="D21" s="165"/>
      <c r="E21" s="165"/>
      <c r="F21" s="165"/>
      <c r="G21" s="165"/>
      <c r="H21" s="165"/>
      <c r="I21" s="165"/>
      <c r="J21" s="165"/>
      <c r="K21" s="165"/>
      <c r="L21" s="165"/>
      <c r="M21" s="66"/>
      <c r="N21" s="66"/>
    </row>
    <row r="22" spans="1:14" x14ac:dyDescent="0.25">
      <c r="A22" s="165"/>
      <c r="B22" s="165"/>
      <c r="C22" s="165"/>
      <c r="D22" s="165"/>
      <c r="E22" s="165"/>
      <c r="F22" s="165"/>
      <c r="G22" s="165"/>
      <c r="H22" s="165"/>
      <c r="I22" s="165"/>
      <c r="J22" s="165"/>
      <c r="K22" s="165"/>
      <c r="L22" s="165"/>
      <c r="M22" s="66"/>
      <c r="N22" s="66"/>
    </row>
    <row r="23" spans="1:14" x14ac:dyDescent="0.25">
      <c r="A23" s="165"/>
      <c r="B23" s="165"/>
      <c r="C23" s="165"/>
      <c r="D23" s="165"/>
      <c r="E23" s="165"/>
      <c r="F23" s="165"/>
      <c r="G23" s="165"/>
      <c r="H23" s="165"/>
      <c r="I23" s="165"/>
      <c r="J23" s="165"/>
      <c r="K23" s="165"/>
      <c r="L23" s="165"/>
      <c r="M23" s="66"/>
      <c r="N23" s="66"/>
    </row>
    <row r="24" spans="1:14" x14ac:dyDescent="0.25">
      <c r="A24" s="165"/>
      <c r="B24" s="165"/>
      <c r="C24" s="165"/>
      <c r="D24" s="165"/>
      <c r="E24" s="165"/>
      <c r="F24" s="165"/>
      <c r="G24" s="165"/>
      <c r="H24" s="165"/>
      <c r="I24" s="165"/>
      <c r="J24" s="165"/>
      <c r="K24" s="165"/>
      <c r="L24" s="165"/>
      <c r="M24" s="66"/>
      <c r="N24" s="66"/>
    </row>
    <row r="25" spans="1:14" x14ac:dyDescent="0.25">
      <c r="A25" s="165"/>
      <c r="B25" s="165"/>
      <c r="C25" s="165"/>
      <c r="D25" s="165"/>
      <c r="E25" s="165"/>
      <c r="F25" s="165"/>
      <c r="G25" s="165"/>
      <c r="H25" s="165"/>
      <c r="I25" s="165"/>
      <c r="J25" s="165"/>
      <c r="K25" s="165"/>
      <c r="L25" s="165"/>
      <c r="M25" s="66"/>
      <c r="N25" s="66"/>
    </row>
    <row r="26" spans="1:14" x14ac:dyDescent="0.25">
      <c r="A26" s="165"/>
      <c r="B26" s="165"/>
      <c r="C26" s="165"/>
      <c r="D26" s="165"/>
      <c r="E26" s="165"/>
      <c r="F26" s="165"/>
      <c r="G26" s="165"/>
      <c r="H26" s="165"/>
      <c r="I26" s="165"/>
      <c r="J26" s="165"/>
      <c r="K26" s="165"/>
      <c r="L26" s="165"/>
      <c r="M26" s="66"/>
      <c r="N26" s="66"/>
    </row>
    <row r="27" spans="1:14" x14ac:dyDescent="0.25">
      <c r="A27" s="165"/>
      <c r="B27" s="165"/>
      <c r="C27" s="165"/>
      <c r="D27" s="165"/>
      <c r="E27" s="165"/>
      <c r="F27" s="165"/>
      <c r="G27" s="165"/>
      <c r="H27" s="165"/>
      <c r="I27" s="165"/>
      <c r="J27" s="165"/>
      <c r="K27" s="165"/>
      <c r="L27" s="165"/>
      <c r="M27" s="66"/>
      <c r="N27" s="66"/>
    </row>
    <row r="28" spans="1:14" x14ac:dyDescent="0.25">
      <c r="A28" s="165"/>
      <c r="B28" s="165"/>
      <c r="C28" s="165"/>
      <c r="D28" s="165"/>
      <c r="E28" s="165"/>
      <c r="F28" s="165"/>
      <c r="G28" s="165"/>
      <c r="H28" s="165"/>
      <c r="I28" s="165"/>
      <c r="J28" s="165"/>
      <c r="K28" s="165"/>
      <c r="L28" s="165"/>
      <c r="M28" s="66"/>
      <c r="N28" s="66"/>
    </row>
    <row r="29" spans="1:14" x14ac:dyDescent="0.25">
      <c r="A29" s="165"/>
      <c r="B29" s="165"/>
      <c r="C29" s="165"/>
      <c r="D29" s="165"/>
      <c r="E29" s="165"/>
      <c r="F29" s="165"/>
      <c r="G29" s="165"/>
      <c r="H29" s="165"/>
      <c r="I29" s="165"/>
      <c r="J29" s="165"/>
      <c r="K29" s="165"/>
      <c r="L29" s="165"/>
      <c r="M29" s="66"/>
      <c r="N29" s="66"/>
    </row>
    <row r="30" spans="1:14" x14ac:dyDescent="0.25">
      <c r="A30" s="165"/>
      <c r="B30" s="165"/>
      <c r="C30" s="165"/>
      <c r="D30" s="165"/>
      <c r="E30" s="165"/>
      <c r="F30" s="165"/>
      <c r="G30" s="165"/>
      <c r="H30" s="165"/>
      <c r="I30" s="165"/>
      <c r="J30" s="165"/>
      <c r="K30" s="165"/>
      <c r="L30" s="165"/>
      <c r="M30" s="66"/>
      <c r="N30" s="66"/>
    </row>
    <row r="31" spans="1:14" x14ac:dyDescent="0.25">
      <c r="A31" s="165"/>
      <c r="B31" s="165"/>
      <c r="C31" s="165"/>
      <c r="D31" s="165"/>
      <c r="E31" s="165"/>
      <c r="F31" s="165"/>
      <c r="G31" s="165"/>
      <c r="H31" s="165"/>
      <c r="I31" s="165"/>
      <c r="J31" s="165"/>
      <c r="K31" s="165"/>
      <c r="L31" s="165"/>
      <c r="M31" s="66"/>
      <c r="N31" s="66"/>
    </row>
    <row r="32" spans="1:14" x14ac:dyDescent="0.25">
      <c r="A32" s="165"/>
      <c r="B32" s="165"/>
      <c r="C32" s="165"/>
      <c r="D32" s="165"/>
      <c r="E32" s="165"/>
      <c r="F32" s="165"/>
      <c r="G32" s="165"/>
      <c r="H32" s="165"/>
      <c r="I32" s="165"/>
      <c r="J32" s="165"/>
      <c r="K32" s="165"/>
      <c r="L32" s="165"/>
      <c r="M32" s="66"/>
      <c r="N32" s="66"/>
    </row>
    <row r="33" spans="1:14" x14ac:dyDescent="0.25">
      <c r="A33" s="165"/>
      <c r="B33" s="165"/>
      <c r="C33" s="165"/>
      <c r="D33" s="165"/>
      <c r="E33" s="165"/>
      <c r="F33" s="165"/>
      <c r="G33" s="165"/>
      <c r="H33" s="165"/>
      <c r="I33" s="165"/>
      <c r="J33" s="165"/>
      <c r="K33" s="165"/>
      <c r="L33" s="165"/>
      <c r="M33" s="66"/>
      <c r="N33" s="66"/>
    </row>
    <row r="34" spans="1:14" x14ac:dyDescent="0.25">
      <c r="A34" s="165"/>
      <c r="B34" s="165"/>
      <c r="C34" s="165"/>
      <c r="D34" s="165"/>
      <c r="E34" s="165"/>
      <c r="F34" s="165"/>
      <c r="G34" s="165"/>
      <c r="H34" s="165"/>
      <c r="I34" s="165"/>
      <c r="J34" s="165"/>
      <c r="K34" s="165"/>
      <c r="L34" s="165"/>
      <c r="M34" s="66"/>
      <c r="N34" s="66"/>
    </row>
  </sheetData>
  <mergeCells count="3">
    <mergeCell ref="B2:J5"/>
    <mergeCell ref="B14:C15"/>
    <mergeCell ref="A17:L34"/>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vt:i4>
      </vt:variant>
    </vt:vector>
  </HeadingPairs>
  <TitlesOfParts>
    <vt:vector size="34" baseType="lpstr">
      <vt:lpstr>Grupo 10-Carbonell-Martinez-T1</vt:lpstr>
      <vt:lpstr>1</vt:lpstr>
      <vt:lpstr>3</vt:lpstr>
      <vt:lpstr>4</vt:lpstr>
      <vt:lpstr>5</vt:lpstr>
      <vt:lpstr>8</vt:lpstr>
      <vt:lpstr>10</vt:lpstr>
      <vt:lpstr>13</vt:lpstr>
      <vt:lpstr>16</vt:lpstr>
      <vt:lpstr>17</vt:lpstr>
      <vt:lpstr>18</vt:lpstr>
      <vt:lpstr>19</vt:lpstr>
      <vt:lpstr>20</vt:lpstr>
      <vt:lpstr>21</vt:lpstr>
      <vt:lpstr>23</vt:lpstr>
      <vt:lpstr>25</vt:lpstr>
      <vt:lpstr>28</vt:lpstr>
      <vt:lpstr>31</vt:lpstr>
      <vt:lpstr>34</vt:lpstr>
      <vt:lpstr>39</vt:lpstr>
      <vt:lpstr>41</vt:lpstr>
      <vt:lpstr>49</vt:lpstr>
      <vt:lpstr>51</vt:lpstr>
      <vt:lpstr>55</vt:lpstr>
      <vt:lpstr>56</vt:lpstr>
      <vt:lpstr>58</vt:lpstr>
      <vt:lpstr>59</vt:lpstr>
      <vt:lpstr>60</vt:lpstr>
      <vt:lpstr>64</vt:lpstr>
      <vt:lpstr>67</vt:lpstr>
      <vt:lpstr>68</vt:lpstr>
      <vt:lpstr>70</vt:lpstr>
      <vt:lpstr>'70'!_ftn1</vt:lpstr>
      <vt:lpstr>'70'!_ftn2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2019-10-06T21:33:38Z</dcterms:modified>
</cp:coreProperties>
</file>