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organone.com\HugoProjects\Projects\H0027\0000\E-Output\01-Presentations\"/>
    </mc:Choice>
  </mc:AlternateContent>
  <xr:revisionPtr revIDLastSave="0" documentId="13_ncr:1_{2A0F9B0A-8837-4D55-BE4F-34AE12669914}" xr6:coauthVersionLast="47" xr6:coauthVersionMax="47" xr10:uidLastSave="{00000000-0000-0000-0000-000000000000}"/>
  <bookViews>
    <workbookView xWindow="-120" yWindow="-120" windowWidth="38640" windowHeight="21240" activeTab="4" xr2:uid="{2B2FDADE-5978-4315-BFF5-20E7E053EA45}"/>
  </bookViews>
  <sheets>
    <sheet name="Info" sheetId="2" r:id="rId1"/>
    <sheet name="Calculator Interface" sheetId="1" r:id="rId2"/>
    <sheet name="Transport" sheetId="4" r:id="rId3"/>
    <sheet name="Tree Species" sheetId="9" r:id="rId4"/>
    <sheet name="Comparison" sheetId="10" r:id="rId5"/>
    <sheet name="Manufacture_Locations" sheetId="6" state="hidden" r:id="rId6"/>
    <sheet name="City_Locations" sheetId="7" state="hidden" r:id="rId7"/>
    <sheet name="Dataset" sheetId="3" state="hidden" r:id="rId8"/>
    <sheet name="Pile Slash Decomposition" sheetId="8" state="hidden"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10" l="1"/>
  <c r="N2" i="10"/>
  <c r="M3" i="10"/>
  <c r="N3" i="10"/>
  <c r="M4" i="10"/>
  <c r="N4" i="10"/>
  <c r="L3" i="10"/>
  <c r="L4" i="10"/>
  <c r="L2" i="10"/>
  <c r="E137" i="1"/>
  <c r="E152" i="1"/>
  <c r="E166" i="1"/>
  <c r="G24" i="1"/>
  <c r="AG14" i="1"/>
  <c r="AQ14" i="1" s="1"/>
  <c r="AG15" i="1"/>
  <c r="AG16" i="1"/>
  <c r="U14" i="1" l="1"/>
  <c r="Y17" i="1"/>
  <c r="Y18" i="1"/>
  <c r="Y19" i="1"/>
  <c r="Y20" i="1"/>
  <c r="Y21" i="1"/>
  <c r="Y22" i="1"/>
  <c r="Y23" i="1"/>
  <c r="U15" i="1"/>
  <c r="U16" i="1"/>
  <c r="I15" i="1"/>
  <c r="I16" i="1"/>
  <c r="O53" i="8"/>
  <c r="O52" i="8"/>
  <c r="O51" i="8"/>
  <c r="O50" i="8"/>
  <c r="O49" i="8"/>
  <c r="O48" i="8"/>
  <c r="O47" i="8"/>
  <c r="AD42" i="8"/>
  <c r="O42" i="8"/>
  <c r="AD41" i="8"/>
  <c r="O41" i="8"/>
  <c r="AD40" i="8"/>
  <c r="O40" i="8"/>
  <c r="AD39" i="8"/>
  <c r="O39" i="8"/>
  <c r="AD38" i="8"/>
  <c r="O38" i="8"/>
  <c r="AD37" i="8"/>
  <c r="O37" i="8"/>
  <c r="AD36" i="8"/>
  <c r="O36" i="8"/>
  <c r="K13" i="4" l="1"/>
  <c r="J13" i="4"/>
  <c r="E13" i="4"/>
  <c r="D13" i="4"/>
  <c r="P13" i="4" s="1"/>
  <c r="I14" i="1"/>
  <c r="N13" i="4" l="1"/>
  <c r="M13" i="4"/>
  <c r="Q15" i="1"/>
  <c r="S15" i="1" s="1"/>
  <c r="Q16" i="1"/>
  <c r="S16" i="1" s="1"/>
  <c r="W16" i="1" s="1"/>
  <c r="Y16" i="1" s="1"/>
  <c r="Q17" i="1"/>
  <c r="S17" i="1" s="1"/>
  <c r="Q18" i="1"/>
  <c r="S18" i="1" s="1"/>
  <c r="Q19" i="1"/>
  <c r="S19" i="1" s="1"/>
  <c r="Q20" i="1"/>
  <c r="S20" i="1" s="1"/>
  <c r="Q21" i="1"/>
  <c r="S21" i="1" s="1"/>
  <c r="Q22" i="1"/>
  <c r="S22" i="1" s="1"/>
  <c r="Q23" i="1"/>
  <c r="S23" i="1" s="1"/>
  <c r="Q14" i="1"/>
  <c r="W15" i="1" l="1"/>
  <c r="Y15" i="1" s="1"/>
  <c r="AC15" i="1"/>
  <c r="AA16" i="1"/>
  <c r="Q24" i="1"/>
  <c r="S14" i="1"/>
  <c r="W14" i="1" s="1"/>
  <c r="Y14" i="1" s="1"/>
  <c r="AC42" i="8" l="1"/>
  <c r="AC63" i="8"/>
  <c r="N51" i="8"/>
  <c r="P51" i="8" s="1"/>
  <c r="Q51" i="8" s="1"/>
  <c r="R51" i="8" s="1"/>
  <c r="S51" i="8" s="1"/>
  <c r="T51" i="8" s="1"/>
  <c r="U51" i="8" s="1"/>
  <c r="V51" i="8" s="1"/>
  <c r="W51" i="8" s="1"/>
  <c r="X51" i="8" s="1"/>
  <c r="Y51" i="8" s="1"/>
  <c r="AC40" i="8"/>
  <c r="AA15" i="1"/>
  <c r="AK15" i="1" a="1"/>
  <c r="AK15" i="1" s="1"/>
  <c r="T13" i="4"/>
  <c r="X13" i="4" s="1"/>
  <c r="AC37" i="8"/>
  <c r="N47" i="8"/>
  <c r="P47" i="8" s="1"/>
  <c r="Q47" i="8" s="1"/>
  <c r="R47" i="8" s="1"/>
  <c r="S47" i="8" s="1"/>
  <c r="T47" i="8" s="1"/>
  <c r="U47" i="8" s="1"/>
  <c r="V47" i="8" s="1"/>
  <c r="W47" i="8" s="1"/>
  <c r="X47" i="8" s="1"/>
  <c r="Y47" i="8" s="1"/>
  <c r="N39" i="8"/>
  <c r="Y39" i="8" s="1"/>
  <c r="N49" i="8"/>
  <c r="P49" i="8" s="1"/>
  <c r="Q49" i="8" s="1"/>
  <c r="R49" i="8" s="1"/>
  <c r="S49" i="8" s="1"/>
  <c r="T49" i="8" s="1"/>
  <c r="U49" i="8" s="1"/>
  <c r="V49" i="8" s="1"/>
  <c r="W49" i="8" s="1"/>
  <c r="X49" i="8" s="1"/>
  <c r="Y49" i="8" s="1"/>
  <c r="N53" i="8"/>
  <c r="P53" i="8" s="1"/>
  <c r="Q53" i="8" s="1"/>
  <c r="R53" i="8" s="1"/>
  <c r="S53" i="8" s="1"/>
  <c r="T53" i="8" s="1"/>
  <c r="U53" i="8" s="1"/>
  <c r="V53" i="8" s="1"/>
  <c r="W53" i="8" s="1"/>
  <c r="X53" i="8" s="1"/>
  <c r="Y53" i="8" s="1"/>
  <c r="AC58" i="8"/>
  <c r="N36" i="8"/>
  <c r="P36" i="8" s="1"/>
  <c r="N48" i="8"/>
  <c r="P48" i="8" s="1"/>
  <c r="Q48" i="8" s="1"/>
  <c r="R48" i="8" s="1"/>
  <c r="S48" i="8" s="1"/>
  <c r="T48" i="8" s="1"/>
  <c r="U48" i="8" s="1"/>
  <c r="V48" i="8" s="1"/>
  <c r="W48" i="8" s="1"/>
  <c r="X48" i="8" s="1"/>
  <c r="Y48" i="8" s="1"/>
  <c r="N41" i="8"/>
  <c r="Q41" i="8" s="1"/>
  <c r="AC41" i="8"/>
  <c r="N50" i="8"/>
  <c r="P50" i="8" s="1"/>
  <c r="Q50" i="8" s="1"/>
  <c r="R50" i="8" s="1"/>
  <c r="S50" i="8" s="1"/>
  <c r="T50" i="8" s="1"/>
  <c r="U50" i="8" s="1"/>
  <c r="V50" i="8" s="1"/>
  <c r="W50" i="8" s="1"/>
  <c r="X50" i="8" s="1"/>
  <c r="Y50" i="8" s="1"/>
  <c r="N40" i="8"/>
  <c r="Y40" i="8" s="1"/>
  <c r="AC36" i="8"/>
  <c r="N52" i="8"/>
  <c r="P52" i="8" s="1"/>
  <c r="Q52" i="8" s="1"/>
  <c r="R52" i="8" s="1"/>
  <c r="S52" i="8" s="1"/>
  <c r="T52" i="8" s="1"/>
  <c r="U52" i="8" s="1"/>
  <c r="V52" i="8" s="1"/>
  <c r="W52" i="8" s="1"/>
  <c r="X52" i="8" s="1"/>
  <c r="Y52" i="8" s="1"/>
  <c r="N38" i="8"/>
  <c r="X38" i="8" s="1"/>
  <c r="AC61" i="8"/>
  <c r="AC39" i="8"/>
  <c r="AC59" i="8"/>
  <c r="AC60" i="8"/>
  <c r="AC71" i="8"/>
  <c r="N42" i="8"/>
  <c r="Z42" i="8" s="1"/>
  <c r="AC73" i="8"/>
  <c r="AC74" i="8"/>
  <c r="AC72" i="8"/>
  <c r="AC62" i="8"/>
  <c r="N37" i="8"/>
  <c r="P37" i="8" s="1"/>
  <c r="AC75" i="8"/>
  <c r="AC76" i="8"/>
  <c r="AC77" i="8"/>
  <c r="AC64" i="8"/>
  <c r="AC38" i="8"/>
  <c r="AC14" i="1"/>
  <c r="AC18" i="1"/>
  <c r="AC16" i="1"/>
  <c r="AK16" i="1" s="1" a="1"/>
  <c r="AK16" i="1" s="1"/>
  <c r="AC21" i="1"/>
  <c r="AC17" i="1"/>
  <c r="AC23" i="1"/>
  <c r="AC19" i="1"/>
  <c r="AC20" i="1"/>
  <c r="AC22" i="1"/>
  <c r="AK23" i="1" l="1" a="1"/>
  <c r="AK23" i="1" s="1"/>
  <c r="AM23" i="1" s="1"/>
  <c r="AK21" i="1" a="1"/>
  <c r="AK21" i="1" s="1"/>
  <c r="AM21" i="1" s="1"/>
  <c r="AK22" i="1" a="1"/>
  <c r="AK22" i="1" s="1"/>
  <c r="AO22" i="1" s="1"/>
  <c r="AK20" i="1" a="1"/>
  <c r="AK20" i="1" s="1"/>
  <c r="AM20" i="1" s="1"/>
  <c r="AK17" i="1" a="1"/>
  <c r="AK17" i="1" s="1"/>
  <c r="AO17" i="1" s="1"/>
  <c r="AK19" i="1" a="1"/>
  <c r="AK19" i="1" s="1"/>
  <c r="AO19" i="1" s="1"/>
  <c r="AK18" i="1" a="1"/>
  <c r="AK18" i="1" s="1"/>
  <c r="AO18" i="1" s="1"/>
  <c r="N61" i="8"/>
  <c r="R61" i="8" s="1"/>
  <c r="Q39" i="8"/>
  <c r="AE39" i="8" s="1"/>
  <c r="AE50" i="8" s="1"/>
  <c r="X39" i="8"/>
  <c r="AM39" i="8" s="1"/>
  <c r="AM50" i="8" s="1"/>
  <c r="R39" i="8"/>
  <c r="U39" i="8"/>
  <c r="T39" i="8"/>
  <c r="W39" i="8"/>
  <c r="AL39" i="8" s="1"/>
  <c r="AL50" i="8" s="1"/>
  <c r="AX39" i="8" s="1"/>
  <c r="V39" i="8"/>
  <c r="Z39" i="8"/>
  <c r="AN39" i="8" s="1"/>
  <c r="AN50" i="8" s="1"/>
  <c r="P39" i="8"/>
  <c r="S39" i="8"/>
  <c r="Z36" i="8"/>
  <c r="T41" i="8"/>
  <c r="X40" i="8"/>
  <c r="AM40" i="8" s="1"/>
  <c r="AM51" i="8" s="1"/>
  <c r="T40" i="8"/>
  <c r="U41" i="8"/>
  <c r="V36" i="8"/>
  <c r="X41" i="8"/>
  <c r="W41" i="8"/>
  <c r="P41" i="8"/>
  <c r="U36" i="8"/>
  <c r="N58" i="8"/>
  <c r="R58" i="8" s="1"/>
  <c r="W36" i="8"/>
  <c r="T36" i="8"/>
  <c r="R36" i="8"/>
  <c r="X36" i="8"/>
  <c r="Y36" i="8"/>
  <c r="S36" i="8"/>
  <c r="Y41" i="8"/>
  <c r="Q36" i="8"/>
  <c r="AE36" i="8" s="1"/>
  <c r="AE47" i="8" s="1"/>
  <c r="V41" i="8"/>
  <c r="N63" i="8"/>
  <c r="X63" i="8" s="1"/>
  <c r="Z41" i="8"/>
  <c r="R41" i="8"/>
  <c r="AF41" i="8" s="1"/>
  <c r="AF52" i="8" s="1"/>
  <c r="AR41" i="8" s="1"/>
  <c r="S41" i="8"/>
  <c r="W40" i="8"/>
  <c r="R38" i="8"/>
  <c r="V40" i="8"/>
  <c r="R40" i="8"/>
  <c r="P40" i="8"/>
  <c r="W38" i="8"/>
  <c r="AL38" i="8" s="1"/>
  <c r="AL49" i="8" s="1"/>
  <c r="T38" i="8"/>
  <c r="U40" i="8"/>
  <c r="Y38" i="8"/>
  <c r="AM38" i="8" s="1"/>
  <c r="AM49" i="8" s="1"/>
  <c r="N60" i="8"/>
  <c r="Y60" i="8" s="1"/>
  <c r="Q38" i="8"/>
  <c r="P38" i="8"/>
  <c r="Z40" i="8"/>
  <c r="AN40" i="8" s="1"/>
  <c r="AN51" i="8" s="1"/>
  <c r="AZ40" i="8" s="1"/>
  <c r="S38" i="8"/>
  <c r="S40" i="8"/>
  <c r="U38" i="8"/>
  <c r="W42" i="8"/>
  <c r="N62" i="8"/>
  <c r="V62" i="8" s="1"/>
  <c r="X42" i="8"/>
  <c r="Q40" i="8"/>
  <c r="AE40" i="8" s="1"/>
  <c r="AE51" i="8" s="1"/>
  <c r="AQ40" i="8" s="1"/>
  <c r="Y42" i="8"/>
  <c r="AN42" i="8" s="1"/>
  <c r="AN53" i="8" s="1"/>
  <c r="AZ42" i="8" s="1"/>
  <c r="V38" i="8"/>
  <c r="Z38" i="8"/>
  <c r="AM15" i="1"/>
  <c r="AO15" i="1"/>
  <c r="AO16" i="1"/>
  <c r="AM16" i="1"/>
  <c r="S42" i="8"/>
  <c r="R37" i="8"/>
  <c r="T42" i="8"/>
  <c r="Y37" i="8"/>
  <c r="R42" i="8"/>
  <c r="V42" i="8"/>
  <c r="N64" i="8"/>
  <c r="Q64" i="8" s="1"/>
  <c r="P42" i="8"/>
  <c r="Q42" i="8"/>
  <c r="AE42" i="8" s="1"/>
  <c r="AE53" i="8" s="1"/>
  <c r="AQ42" i="8" s="1"/>
  <c r="S37" i="8"/>
  <c r="X37" i="8"/>
  <c r="U42" i="8"/>
  <c r="Z37" i="8"/>
  <c r="N59" i="8"/>
  <c r="P59" i="8" s="1"/>
  <c r="AE59" i="8" s="1"/>
  <c r="Q37" i="8"/>
  <c r="AE37" i="8" s="1"/>
  <c r="AE48" i="8" s="1"/>
  <c r="AQ37" i="8" s="1"/>
  <c r="V37" i="8"/>
  <c r="W37" i="8"/>
  <c r="T37" i="8"/>
  <c r="U37" i="8"/>
  <c r="AQ39" i="8"/>
  <c r="AE41" i="8"/>
  <c r="AE52" i="8" s="1"/>
  <c r="AA14" i="1"/>
  <c r="AO21" i="1"/>
  <c r="AO20" i="1"/>
  <c r="AO23" i="1"/>
  <c r="AG39" i="8" l="1"/>
  <c r="AG50" i="8" s="1"/>
  <c r="AM18" i="1"/>
  <c r="AM19" i="1"/>
  <c r="AM17" i="1"/>
  <c r="AM22" i="1"/>
  <c r="AK14" i="1" a="1"/>
  <c r="AK14" i="1" s="1"/>
  <c r="AP14" i="1" s="1"/>
  <c r="AS14" i="1" s="1"/>
  <c r="AF39" i="8"/>
  <c r="AF50" i="8" s="1"/>
  <c r="AI39" i="8"/>
  <c r="AI50" i="8" s="1"/>
  <c r="V61" i="8"/>
  <c r="U61" i="8"/>
  <c r="W61" i="8"/>
  <c r="X61" i="8"/>
  <c r="S61" i="8"/>
  <c r="AH61" i="8" s="1"/>
  <c r="P61" i="8"/>
  <c r="AE61" i="8" s="1"/>
  <c r="Q61" i="8"/>
  <c r="AG61" i="8" s="1"/>
  <c r="T61" i="8"/>
  <c r="AJ61" i="8" s="1"/>
  <c r="AK39" i="8"/>
  <c r="AK50" i="8" s="1"/>
  <c r="AW39" i="8" s="1"/>
  <c r="AM41" i="8"/>
  <c r="AM52" i="8" s="1"/>
  <c r="AY41" i="8" s="1"/>
  <c r="Y61" i="8"/>
  <c r="AN41" i="8"/>
  <c r="AN52" i="8" s="1"/>
  <c r="AZ41" i="8" s="1"/>
  <c r="AN76" i="8" s="1"/>
  <c r="BK53" i="8" s="1"/>
  <c r="AH39" i="8"/>
  <c r="AH50" i="8" s="1"/>
  <c r="AT39" i="8" s="1"/>
  <c r="AI41" i="8"/>
  <c r="AI52" i="8" s="1"/>
  <c r="AU41" i="8" s="1"/>
  <c r="S58" i="8"/>
  <c r="AH58" i="8" s="1"/>
  <c r="U58" i="8"/>
  <c r="AJ39" i="8"/>
  <c r="AJ50" i="8" s="1"/>
  <c r="AV39" i="8" s="1"/>
  <c r="AJ74" i="8" s="1"/>
  <c r="V58" i="8"/>
  <c r="X58" i="8"/>
  <c r="AN36" i="8"/>
  <c r="AN47" i="8" s="1"/>
  <c r="AZ36" i="8" s="1"/>
  <c r="BK47" i="8" s="1"/>
  <c r="AL41" i="8"/>
  <c r="AL52" i="8" s="1"/>
  <c r="AX41" i="8" s="1"/>
  <c r="AI36" i="8"/>
  <c r="AI47" i="8" s="1"/>
  <c r="AU36" i="8" s="1"/>
  <c r="BF47" i="8" s="1"/>
  <c r="AJ36" i="8"/>
  <c r="AJ47" i="8" s="1"/>
  <c r="AV36" i="8" s="1"/>
  <c r="BG47" i="8" s="1"/>
  <c r="S63" i="8"/>
  <c r="AK40" i="8"/>
  <c r="AK51" i="8" s="1"/>
  <c r="AW40" i="8" s="1"/>
  <c r="AL40" i="8"/>
  <c r="AL51" i="8" s="1"/>
  <c r="AX40" i="8" s="1"/>
  <c r="AH41" i="8"/>
  <c r="AH52" i="8" s="1"/>
  <c r="AT41" i="8" s="1"/>
  <c r="AH40" i="8"/>
  <c r="AH51" i="8" s="1"/>
  <c r="AT40" i="8" s="1"/>
  <c r="P58" i="8"/>
  <c r="AE58" i="8" s="1"/>
  <c r="T58" i="8"/>
  <c r="Q58" i="8"/>
  <c r="AG58" i="8" s="1"/>
  <c r="W58" i="8"/>
  <c r="Q63" i="8"/>
  <c r="AH36" i="8"/>
  <c r="AH47" i="8" s="1"/>
  <c r="AT36" i="8" s="1"/>
  <c r="BE47" i="8" s="1"/>
  <c r="P63" i="8"/>
  <c r="AE63" i="8" s="1"/>
  <c r="AL36" i="8"/>
  <c r="AL47" i="8" s="1"/>
  <c r="AX36" i="8" s="1"/>
  <c r="BI47" i="8" s="1"/>
  <c r="Y58" i="8"/>
  <c r="AK41" i="8"/>
  <c r="AK52" i="8" s="1"/>
  <c r="AW41" i="8" s="1"/>
  <c r="AK36" i="8"/>
  <c r="AK47" i="8" s="1"/>
  <c r="AW36" i="8" s="1"/>
  <c r="BH47" i="8" s="1"/>
  <c r="V63" i="8"/>
  <c r="AI40" i="8"/>
  <c r="AI51" i="8" s="1"/>
  <c r="AU40" i="8" s="1"/>
  <c r="W63" i="8"/>
  <c r="AM63" i="8" s="1"/>
  <c r="AF36" i="8"/>
  <c r="AF47" i="8" s="1"/>
  <c r="AR36" i="8" s="1"/>
  <c r="BC47" i="8" s="1"/>
  <c r="AM36" i="8"/>
  <c r="AM47" i="8" s="1"/>
  <c r="AY36" i="8" s="1"/>
  <c r="BJ47" i="8" s="1"/>
  <c r="AG36" i="8"/>
  <c r="AG47" i="8" s="1"/>
  <c r="AS36" i="8" s="1"/>
  <c r="BD47" i="8" s="1"/>
  <c r="AG41" i="8"/>
  <c r="AG52" i="8" s="1"/>
  <c r="AS41" i="8" s="1"/>
  <c r="AJ41" i="8"/>
  <c r="AJ52" i="8" s="1"/>
  <c r="AV41" i="8" s="1"/>
  <c r="V60" i="8"/>
  <c r="X60" i="8"/>
  <c r="AN60" i="8" s="1"/>
  <c r="T63" i="8"/>
  <c r="R63" i="8"/>
  <c r="U63" i="8"/>
  <c r="Y63" i="8"/>
  <c r="AN63" i="8" s="1"/>
  <c r="AF38" i="8"/>
  <c r="AF49" i="8" s="1"/>
  <c r="AR38" i="8" s="1"/>
  <c r="AK38" i="8"/>
  <c r="AK49" i="8" s="1"/>
  <c r="AW38" i="8" s="1"/>
  <c r="AJ40" i="8"/>
  <c r="AJ51" i="8" s="1"/>
  <c r="AV40" i="8" s="1"/>
  <c r="AI38" i="8"/>
  <c r="AI49" i="8" s="1"/>
  <c r="AU38" i="8" s="1"/>
  <c r="AF37" i="8"/>
  <c r="AF48" i="8" s="1"/>
  <c r="AR37" i="8" s="1"/>
  <c r="AF72" i="8" s="1"/>
  <c r="AH38" i="8"/>
  <c r="AH49" i="8" s="1"/>
  <c r="AT38" i="8" s="1"/>
  <c r="S60" i="8"/>
  <c r="AG38" i="8"/>
  <c r="AG49" i="8" s="1"/>
  <c r="AS38" i="8" s="1"/>
  <c r="AG40" i="8"/>
  <c r="AG51" i="8" s="1"/>
  <c r="AS40" i="8" s="1"/>
  <c r="R60" i="8"/>
  <c r="W60" i="8"/>
  <c r="Q60" i="8"/>
  <c r="P60" i="8"/>
  <c r="AE60" i="8" s="1"/>
  <c r="AE38" i="8"/>
  <c r="AE49" i="8" s="1"/>
  <c r="AQ38" i="8" s="1"/>
  <c r="T60" i="8"/>
  <c r="S62" i="8"/>
  <c r="AK42" i="8"/>
  <c r="AK53" i="8" s="1"/>
  <c r="AW42" i="8" s="1"/>
  <c r="U60" i="8"/>
  <c r="X62" i="8"/>
  <c r="AL42" i="8"/>
  <c r="AL53" i="8" s="1"/>
  <c r="AX42" i="8" s="1"/>
  <c r="AM42" i="8"/>
  <c r="AM53" i="8" s="1"/>
  <c r="AY42" i="8" s="1"/>
  <c r="R62" i="8"/>
  <c r="S59" i="8"/>
  <c r="W62" i="8"/>
  <c r="AL62" i="8" s="1"/>
  <c r="Q59" i="8"/>
  <c r="AF59" i="8" s="1"/>
  <c r="U62" i="8"/>
  <c r="AK62" i="8" s="1"/>
  <c r="AN38" i="8"/>
  <c r="AN49" i="8" s="1"/>
  <c r="AZ38" i="8" s="1"/>
  <c r="AN73" i="8" s="1"/>
  <c r="T59" i="8"/>
  <c r="Y62" i="8"/>
  <c r="P62" i="8"/>
  <c r="AE62" i="8" s="1"/>
  <c r="Q62" i="8"/>
  <c r="AN37" i="8"/>
  <c r="AN48" i="8" s="1"/>
  <c r="AZ37" i="8" s="1"/>
  <c r="AN72" i="8" s="1"/>
  <c r="Y59" i="8"/>
  <c r="T62" i="8"/>
  <c r="AJ37" i="8"/>
  <c r="AJ48" i="8" s="1"/>
  <c r="AV37" i="8" s="1"/>
  <c r="AJ38" i="8"/>
  <c r="AJ49" i="8" s="1"/>
  <c r="AV38" i="8" s="1"/>
  <c r="AF40" i="8"/>
  <c r="AF51" i="8" s="1"/>
  <c r="AR40" i="8" s="1"/>
  <c r="T64" i="8"/>
  <c r="AK37" i="8"/>
  <c r="AK48" i="8" s="1"/>
  <c r="AW37" i="8" s="1"/>
  <c r="AH42" i="8"/>
  <c r="AH53" i="8" s="1"/>
  <c r="AT42" i="8" s="1"/>
  <c r="X64" i="8"/>
  <c r="V59" i="8"/>
  <c r="AG37" i="8"/>
  <c r="AG48" i="8" s="1"/>
  <c r="AS37" i="8" s="1"/>
  <c r="AG42" i="8"/>
  <c r="AG53" i="8" s="1"/>
  <c r="AS42" i="8" s="1"/>
  <c r="W64" i="8"/>
  <c r="R64" i="8"/>
  <c r="P64" i="8"/>
  <c r="AE64" i="8" s="1"/>
  <c r="V64" i="8"/>
  <c r="U64" i="8"/>
  <c r="Y64" i="8"/>
  <c r="AI42" i="8"/>
  <c r="AI53" i="8" s="1"/>
  <c r="AU42" i="8" s="1"/>
  <c r="AM37" i="8"/>
  <c r="AM48" i="8" s="1"/>
  <c r="AY37" i="8" s="1"/>
  <c r="AJ42" i="8"/>
  <c r="AJ53" i="8" s="1"/>
  <c r="AV42" i="8" s="1"/>
  <c r="AH37" i="8"/>
  <c r="AH48" i="8" s="1"/>
  <c r="AT37" i="8" s="1"/>
  <c r="AF42" i="8"/>
  <c r="AF53" i="8" s="1"/>
  <c r="AR42" i="8" s="1"/>
  <c r="S64" i="8"/>
  <c r="U59" i="8"/>
  <c r="AI37" i="8"/>
  <c r="AI48" i="8" s="1"/>
  <c r="AU37" i="8" s="1"/>
  <c r="AI72" i="8" s="1"/>
  <c r="X59" i="8"/>
  <c r="R59" i="8"/>
  <c r="AL37" i="8"/>
  <c r="AL48" i="8" s="1"/>
  <c r="AX37" i="8" s="1"/>
  <c r="W59" i="8"/>
  <c r="AN77" i="8"/>
  <c r="AL74" i="8"/>
  <c r="AF76" i="8"/>
  <c r="AE74" i="8"/>
  <c r="BB51" i="8" s="1"/>
  <c r="AZ39" i="8"/>
  <c r="AY39" i="8"/>
  <c r="AN75" i="8"/>
  <c r="AX38" i="8"/>
  <c r="AY38" i="8"/>
  <c r="AR39" i="8"/>
  <c r="AE77" i="8"/>
  <c r="AU39" i="8"/>
  <c r="AS39" i="8"/>
  <c r="AE75" i="8"/>
  <c r="AQ41" i="8"/>
  <c r="AE72" i="8"/>
  <c r="AQ36" i="8"/>
  <c r="BB47" i="8" s="1"/>
  <c r="AY40" i="8"/>
  <c r="AQ53" i="8"/>
  <c r="AQ51" i="8"/>
  <c r="AQ50" i="8"/>
  <c r="AQ48" i="8"/>
  <c r="AM61" i="8" l="1"/>
  <c r="AM14" i="1"/>
  <c r="AI61" i="8"/>
  <c r="AN61" i="8"/>
  <c r="BK52" i="8"/>
  <c r="AL61" i="8"/>
  <c r="AJ58" i="8"/>
  <c r="AK58" i="8"/>
  <c r="AN58" i="8"/>
  <c r="AF61" i="8"/>
  <c r="AK61" i="8"/>
  <c r="AI58" i="8"/>
  <c r="AM58" i="8"/>
  <c r="AF58" i="8"/>
  <c r="AM60" i="8"/>
  <c r="AK63" i="8"/>
  <c r="AL58" i="8"/>
  <c r="AN71" i="8"/>
  <c r="BK48" i="8" s="1"/>
  <c r="AH71" i="8"/>
  <c r="BE48" i="8" s="1"/>
  <c r="AF63" i="8"/>
  <c r="AL63" i="8"/>
  <c r="AG63" i="8"/>
  <c r="AJ63" i="8"/>
  <c r="AH60" i="8"/>
  <c r="AI63" i="8"/>
  <c r="AH63" i="8"/>
  <c r="AK60" i="8"/>
  <c r="AL60" i="8"/>
  <c r="AI60" i="8"/>
  <c r="AR48" i="8"/>
  <c r="AS48" i="8" s="1"/>
  <c r="AT48" i="8" s="1"/>
  <c r="AU48" i="8" s="1"/>
  <c r="AV48" i="8" s="1"/>
  <c r="AW48" i="8" s="1"/>
  <c r="AX48" i="8" s="1"/>
  <c r="AY48" i="8" s="1"/>
  <c r="AZ48" i="8" s="1"/>
  <c r="AN62" i="8"/>
  <c r="AG60" i="8"/>
  <c r="AL64" i="8"/>
  <c r="AJ60" i="8"/>
  <c r="AH62" i="8"/>
  <c r="AF60" i="8"/>
  <c r="AH59" i="8"/>
  <c r="AI59" i="8"/>
  <c r="AM64" i="8"/>
  <c r="AN64" i="8"/>
  <c r="AJ62" i="8"/>
  <c r="AM62" i="8"/>
  <c r="BK49" i="8"/>
  <c r="AL59" i="8"/>
  <c r="AH64" i="8"/>
  <c r="AK64" i="8"/>
  <c r="AF64" i="8"/>
  <c r="AF62" i="8"/>
  <c r="AJ64" i="8"/>
  <c r="AG62" i="8"/>
  <c r="AI62" i="8"/>
  <c r="AG64" i="8"/>
  <c r="AJ59" i="8"/>
  <c r="AI64" i="8"/>
  <c r="AM59" i="8"/>
  <c r="AN59" i="8"/>
  <c r="AG59" i="8"/>
  <c r="AK59" i="8"/>
  <c r="BF49" i="8"/>
  <c r="BG51" i="8"/>
  <c r="AQ61" i="8"/>
  <c r="BI51" i="8"/>
  <c r="BB49" i="8"/>
  <c r="BC53" i="8"/>
  <c r="BB52" i="8"/>
  <c r="BK50" i="8"/>
  <c r="BC49" i="8"/>
  <c r="AM73" i="8"/>
  <c r="BJ50" i="8" s="1"/>
  <c r="AL76" i="8"/>
  <c r="BI53" i="8" s="1"/>
  <c r="AM77" i="8"/>
  <c r="AM74" i="8"/>
  <c r="BJ51" i="8" s="1"/>
  <c r="AK74" i="8"/>
  <c r="BH51" i="8" s="1"/>
  <c r="AG71" i="8"/>
  <c r="BD48" i="8" s="1"/>
  <c r="AG75" i="8"/>
  <c r="BD52" i="8" s="1"/>
  <c r="AL77" i="8"/>
  <c r="AH76" i="8"/>
  <c r="BE53" i="8" s="1"/>
  <c r="AF75" i="8"/>
  <c r="BC52" i="8" s="1"/>
  <c r="AM72" i="8"/>
  <c r="BJ49" i="8" s="1"/>
  <c r="AG76" i="8"/>
  <c r="BD53" i="8" s="1"/>
  <c r="AE76" i="8"/>
  <c r="AE73" i="8"/>
  <c r="AI74" i="8"/>
  <c r="BF51" i="8" s="1"/>
  <c r="AK71" i="8"/>
  <c r="BH48" i="8" s="1"/>
  <c r="AG73" i="8"/>
  <c r="BD50" i="8" s="1"/>
  <c r="AI76" i="8"/>
  <c r="BF53" i="8" s="1"/>
  <c r="AF71" i="8"/>
  <c r="BC48" i="8" s="1"/>
  <c r="AN74" i="8"/>
  <c r="BK51" i="8" s="1"/>
  <c r="AF74" i="8"/>
  <c r="AK77" i="8"/>
  <c r="AJ71" i="8"/>
  <c r="BG48" i="8" s="1"/>
  <c r="AQ59" i="8"/>
  <c r="AQ64" i="8"/>
  <c r="AQ62" i="8"/>
  <c r="AE71" i="8"/>
  <c r="AF77" i="8"/>
  <c r="AJ77" i="8"/>
  <c r="AG77" i="8"/>
  <c r="AL72" i="8"/>
  <c r="BI49" i="8" s="1"/>
  <c r="AH72" i="8"/>
  <c r="BE49" i="8" s="1"/>
  <c r="AG72" i="8"/>
  <c r="BD49" i="8" s="1"/>
  <c r="AR53" i="8"/>
  <c r="AS53" i="8" s="1"/>
  <c r="AT53" i="8" s="1"/>
  <c r="AU53" i="8" s="1"/>
  <c r="AV53" i="8" s="1"/>
  <c r="AW53" i="8" s="1"/>
  <c r="AX53" i="8" s="1"/>
  <c r="AY53" i="8" s="1"/>
  <c r="AZ53" i="8" s="1"/>
  <c r="AG74" i="8"/>
  <c r="BD51" i="8" s="1"/>
  <c r="AM71" i="8"/>
  <c r="BJ48" i="8" s="1"/>
  <c r="AI77" i="8"/>
  <c r="AI71" i="8"/>
  <c r="BF48" i="8" s="1"/>
  <c r="AK72" i="8"/>
  <c r="BH49" i="8" s="1"/>
  <c r="AI73" i="8"/>
  <c r="BF50" i="8" s="1"/>
  <c r="AJ72" i="8"/>
  <c r="BG49" i="8" s="1"/>
  <c r="AK76" i="8"/>
  <c r="BH53" i="8" s="1"/>
  <c r="AK73" i="8"/>
  <c r="BH50" i="8" s="1"/>
  <c r="AM76" i="8"/>
  <c r="BJ53" i="8" s="1"/>
  <c r="AR50" i="8"/>
  <c r="AS50" i="8" s="1"/>
  <c r="AT50" i="8" s="1"/>
  <c r="AU50" i="8" s="1"/>
  <c r="AV50" i="8" s="1"/>
  <c r="AW50" i="8" s="1"/>
  <c r="AX50" i="8" s="1"/>
  <c r="AY50" i="8" s="1"/>
  <c r="AZ50" i="8" s="1"/>
  <c r="AJ76" i="8"/>
  <c r="BG53" i="8" s="1"/>
  <c r="AJ75" i="8"/>
  <c r="BG52" i="8" s="1"/>
  <c r="AK75" i="8"/>
  <c r="BH52" i="8" s="1"/>
  <c r="AI75" i="8"/>
  <c r="BF52" i="8" s="1"/>
  <c r="AL73" i="8"/>
  <c r="BI50" i="8" s="1"/>
  <c r="AL75" i="8"/>
  <c r="BI52" i="8" s="1"/>
  <c r="AL71" i="8"/>
  <c r="BI48" i="8" s="1"/>
  <c r="AM75" i="8"/>
  <c r="BJ52" i="8" s="1"/>
  <c r="AH73" i="8"/>
  <c r="BE50" i="8" s="1"/>
  <c r="AH75" i="8"/>
  <c r="BE52" i="8" s="1"/>
  <c r="AH74" i="8"/>
  <c r="BE51" i="8" s="1"/>
  <c r="AF73" i="8"/>
  <c r="BC50" i="8" s="1"/>
  <c r="AH77" i="8"/>
  <c r="AJ73" i="8"/>
  <c r="BG50" i="8" s="1"/>
  <c r="AR51" i="8"/>
  <c r="AS51" i="8" s="1"/>
  <c r="AT51" i="8" s="1"/>
  <c r="AU51" i="8" s="1"/>
  <c r="AV51" i="8" s="1"/>
  <c r="AW51" i="8" s="1"/>
  <c r="AX51" i="8" s="1"/>
  <c r="AY51" i="8" s="1"/>
  <c r="AZ51" i="8" s="1"/>
  <c r="AQ47" i="8"/>
  <c r="AR47" i="8" s="1"/>
  <c r="AS47" i="8" s="1"/>
  <c r="AT47" i="8" s="1"/>
  <c r="AU47" i="8" s="1"/>
  <c r="AV47" i="8" s="1"/>
  <c r="AW47" i="8" s="1"/>
  <c r="AX47" i="8" s="1"/>
  <c r="AY47" i="8" s="1"/>
  <c r="AZ47" i="8" s="1"/>
  <c r="AQ49" i="8"/>
  <c r="AR49" i="8" s="1"/>
  <c r="AS49" i="8" s="1"/>
  <c r="AT49" i="8" s="1"/>
  <c r="AU49" i="8" s="1"/>
  <c r="AV49" i="8" s="1"/>
  <c r="AW49" i="8" s="1"/>
  <c r="AX49" i="8" s="1"/>
  <c r="AY49" i="8" s="1"/>
  <c r="AZ49" i="8" s="1"/>
  <c r="AQ52" i="8"/>
  <c r="AR52" i="8" s="1"/>
  <c r="AS52" i="8" s="1"/>
  <c r="AT52" i="8" s="1"/>
  <c r="AU52" i="8" s="1"/>
  <c r="AV52" i="8" s="1"/>
  <c r="AW52" i="8" s="1"/>
  <c r="AX52" i="8" s="1"/>
  <c r="AY52" i="8" s="1"/>
  <c r="AZ52" i="8" s="1"/>
  <c r="AQ15" i="1" l="1"/>
  <c r="AO14" i="1"/>
  <c r="AR61" i="8"/>
  <c r="AS61" i="8" s="1"/>
  <c r="AT61" i="8" s="1"/>
  <c r="BC51" i="8"/>
  <c r="AQ60" i="8"/>
  <c r="AR60" i="8" s="1"/>
  <c r="AS60" i="8" s="1"/>
  <c r="AT60" i="8" s="1"/>
  <c r="BB50" i="8"/>
  <c r="BM50" i="8" s="1"/>
  <c r="BN50" i="8" s="1"/>
  <c r="BO50" i="8" s="1"/>
  <c r="AQ58" i="8"/>
  <c r="BB48" i="8"/>
  <c r="BM48" i="8" s="1"/>
  <c r="BN48" i="8" s="1"/>
  <c r="AQ63" i="8"/>
  <c r="AR63" i="8" s="1"/>
  <c r="BB53" i="8"/>
  <c r="BM53" i="8" s="1"/>
  <c r="BM52" i="8"/>
  <c r="AR59" i="8"/>
  <c r="AR58" i="8"/>
  <c r="AR62" i="8"/>
  <c r="BM51" i="8"/>
  <c r="BM49" i="8"/>
  <c r="BN49" i="8" s="1"/>
  <c r="BO49" i="8" s="1"/>
  <c r="BM47" i="8"/>
  <c r="AR64" i="8"/>
  <c r="AS62" i="8" l="1"/>
  <c r="BN51" i="8"/>
  <c r="AU61" i="8"/>
  <c r="AS58" i="8"/>
  <c r="BN47" i="8"/>
  <c r="AS59" i="8"/>
  <c r="AU60" i="8"/>
  <c r="BP49" i="8"/>
  <c r="BP50" i="8"/>
  <c r="AS64" i="8"/>
  <c r="BN53" i="8"/>
  <c r="AS63" i="8"/>
  <c r="BN52" i="8"/>
  <c r="AT64" i="8" l="1"/>
  <c r="AV60" i="8"/>
  <c r="BQ49" i="8"/>
  <c r="AT59" i="8"/>
  <c r="BO48" i="8"/>
  <c r="AT58" i="8"/>
  <c r="BO47" i="8"/>
  <c r="BO53" i="8"/>
  <c r="AV61" i="8"/>
  <c r="BQ50" i="8"/>
  <c r="BO51" i="8"/>
  <c r="AT62" i="8"/>
  <c r="AT63" i="8"/>
  <c r="BO52" i="8"/>
  <c r="BP47" i="8" l="1"/>
  <c r="AU58" i="8"/>
  <c r="AU59" i="8"/>
  <c r="BP48" i="8"/>
  <c r="AW60" i="8"/>
  <c r="BR49" i="8"/>
  <c r="AU64" i="8"/>
  <c r="BP53" i="8"/>
  <c r="AW61" i="8"/>
  <c r="BR50" i="8"/>
  <c r="AU63" i="8"/>
  <c r="BP52" i="8"/>
  <c r="AU62" i="8"/>
  <c r="BP51" i="8"/>
  <c r="AX61" i="8" l="1"/>
  <c r="BS50" i="8"/>
  <c r="AV59" i="8"/>
  <c r="BQ48" i="8"/>
  <c r="AV58" i="8"/>
  <c r="BQ47" i="8"/>
  <c r="AV62" i="8"/>
  <c r="BQ51" i="8"/>
  <c r="AV64" i="8"/>
  <c r="BQ53" i="8"/>
  <c r="AX60" i="8"/>
  <c r="BS49" i="8"/>
  <c r="AV63" i="8"/>
  <c r="BQ52" i="8"/>
  <c r="AW64" i="8" l="1"/>
  <c r="BR53" i="8"/>
  <c r="BR52" i="8"/>
  <c r="AW63" i="8"/>
  <c r="AW62" i="8"/>
  <c r="BR51" i="8"/>
  <c r="AW58" i="8"/>
  <c r="BR47" i="8"/>
  <c r="AW59" i="8"/>
  <c r="BR48" i="8"/>
  <c r="AY61" i="8"/>
  <c r="BT50" i="8"/>
  <c r="AY60" i="8"/>
  <c r="BT49" i="8"/>
  <c r="AX58" i="8" l="1"/>
  <c r="BS47" i="8"/>
  <c r="BU50" i="8"/>
  <c r="AZ60" i="8"/>
  <c r="BU49" i="8"/>
  <c r="BV49" i="8" s="1"/>
  <c r="AX59" i="8"/>
  <c r="BS48" i="8"/>
  <c r="AX62" i="8"/>
  <c r="BS51" i="8"/>
  <c r="AX63" i="8"/>
  <c r="BS52" i="8"/>
  <c r="AX64" i="8"/>
  <c r="BS53" i="8"/>
  <c r="AZ61" i="8"/>
  <c r="BV50" i="8" l="1"/>
  <c r="AY63" i="8"/>
  <c r="AY62" i="8"/>
  <c r="BT51" i="8"/>
  <c r="AY59" i="8"/>
  <c r="BT48" i="8"/>
  <c r="AY58" i="8"/>
  <c r="BT47" i="8"/>
  <c r="BT52" i="8"/>
  <c r="AY64" i="8"/>
  <c r="BT53" i="8"/>
  <c r="AZ58" i="8" l="1"/>
  <c r="BU47" i="8"/>
  <c r="BV47" i="8" s="1"/>
  <c r="AZ59" i="8"/>
  <c r="BU48" i="8"/>
  <c r="BV48" i="8" s="1"/>
  <c r="AZ64" i="8"/>
  <c r="BU53" i="8"/>
  <c r="BV53" i="8" s="1"/>
  <c r="AZ62" i="8"/>
  <c r="BU51" i="8"/>
  <c r="BV51" i="8" s="1"/>
  <c r="AZ63" i="8"/>
  <c r="BU52" i="8"/>
  <c r="BV52" i="8"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<sst xmlns="http://schemas.openxmlformats.org/spreadsheetml/2006/main" count="531" uniqueCount="250">
  <si>
    <t>Building Elements Considerd in the study:</t>
  </si>
  <si>
    <t>Structural Columns</t>
  </si>
  <si>
    <t>Beams</t>
  </si>
  <si>
    <t>Flooring</t>
  </si>
  <si>
    <t>Framing</t>
  </si>
  <si>
    <t>Four different scenarios for slash have been considered</t>
  </si>
  <si>
    <t>Leaving all the slash and log leftovers in the environment</t>
  </si>
  <si>
    <t>Pile Burning</t>
  </si>
  <si>
    <t>Burning all the slash in a controlled environment</t>
  </si>
  <si>
    <t xml:space="preserve">Mastication </t>
  </si>
  <si>
    <t>Creating mulch and spreading them in the forest</t>
  </si>
  <si>
    <t>Carbon Neutral</t>
  </si>
  <si>
    <t xml:space="preserve">Using the byproducts, wood residues can find secondary market </t>
  </si>
  <si>
    <t>OneClick LCA</t>
  </si>
  <si>
    <t>Alaska Yellow Cedar</t>
  </si>
  <si>
    <t>Pacific Northwest</t>
  </si>
  <si>
    <t>Douglas Fir</t>
  </si>
  <si>
    <t>Hemlock Fir</t>
  </si>
  <si>
    <t>Ponderosa Pine</t>
  </si>
  <si>
    <t>Southwest region</t>
  </si>
  <si>
    <t>Southern Yellow Pine</t>
  </si>
  <si>
    <t>Southeast region</t>
  </si>
  <si>
    <t>Spruce Pine Fir</t>
  </si>
  <si>
    <t>Northeast region</t>
  </si>
  <si>
    <t>Western Red Cedar</t>
  </si>
  <si>
    <t>1. Data Input</t>
  </si>
  <si>
    <t>2. Calculations</t>
  </si>
  <si>
    <t>Description</t>
  </si>
  <si>
    <t>Value claculated from Oneclick LCA_Kg CO2 eq</t>
  </si>
  <si>
    <t>The amount of carbon released from slash_Kg CO2 eq</t>
  </si>
  <si>
    <t>Subassembly Input</t>
  </si>
  <si>
    <t>Tree Type</t>
  </si>
  <si>
    <t>Amount</t>
  </si>
  <si>
    <t>Unit</t>
  </si>
  <si>
    <t>Slash Scenario</t>
  </si>
  <si>
    <t>Model chosen</t>
  </si>
  <si>
    <t>Density (Kg/m3)</t>
  </si>
  <si>
    <t>Wood Needed_Kg</t>
  </si>
  <si>
    <t>Weight of Harvested Tree_Kg</t>
  </si>
  <si>
    <t># of Tree</t>
  </si>
  <si>
    <t>AGB Value</t>
  </si>
  <si>
    <t>BGB Value</t>
  </si>
  <si>
    <t>Slash_Kg</t>
  </si>
  <si>
    <t>Current Biogenic Carbon</t>
  </si>
  <si>
    <t>Fossil Carbon Footprint</t>
  </si>
  <si>
    <t>Slash_ Released Biogenic Carbon</t>
  </si>
  <si>
    <t>New Biogenic Carbon</t>
  </si>
  <si>
    <t>Diffenrece</t>
  </si>
  <si>
    <t>4. Graphics</t>
  </si>
  <si>
    <t>AVERAGE OF IT</t>
  </si>
  <si>
    <t>Scenario</t>
  </si>
  <si>
    <t>EPD</t>
  </si>
  <si>
    <t>Current EPD</t>
  </si>
  <si>
    <t>1. Transportation</t>
  </si>
  <si>
    <t>2.Shipment</t>
  </si>
  <si>
    <t>Where you get your material from</t>
  </si>
  <si>
    <t>Which major city is your project located in?</t>
  </si>
  <si>
    <t xml:space="preserve">Manufacturer </t>
  </si>
  <si>
    <t>Latitude</t>
  </si>
  <si>
    <t>Longitude</t>
  </si>
  <si>
    <t>Project Location</t>
  </si>
  <si>
    <t>ΔX</t>
  </si>
  <si>
    <t>ΔY</t>
  </si>
  <si>
    <t>Distnace, Mile</t>
  </si>
  <si>
    <t>Truck Load_Ton</t>
  </si>
  <si>
    <t>Kg CO2 Emission</t>
  </si>
  <si>
    <t>Mercer International, Arkansas</t>
  </si>
  <si>
    <t>Dallas, TX</t>
  </si>
  <si>
    <t>change color</t>
  </si>
  <si>
    <t>Transport Greenhouse Gass Emission</t>
  </si>
  <si>
    <t>D x W x EF</t>
  </si>
  <si>
    <t>D</t>
  </si>
  <si>
    <t>Distance</t>
  </si>
  <si>
    <t>W</t>
  </si>
  <si>
    <t>Weight of the shipment</t>
  </si>
  <si>
    <t>EF</t>
  </si>
  <si>
    <t>Emission Factor</t>
  </si>
  <si>
    <t>g/ ton-mile</t>
  </si>
  <si>
    <t>Company</t>
  </si>
  <si>
    <t>City</t>
  </si>
  <si>
    <t>State/ Providence</t>
  </si>
  <si>
    <t>Country</t>
  </si>
  <si>
    <t xml:space="preserve">Lat </t>
  </si>
  <si>
    <t>Long</t>
  </si>
  <si>
    <t>Alamco Wood Products, Minnesota</t>
  </si>
  <si>
    <t>Albert Lea</t>
  </si>
  <si>
    <t>Minnesota</t>
  </si>
  <si>
    <t>USA</t>
  </si>
  <si>
    <t xml:space="preserve">Anthony Forest Products, Georgia </t>
  </si>
  <si>
    <t>Washington</t>
  </si>
  <si>
    <t xml:space="preserve">Georgia </t>
  </si>
  <si>
    <t>Anthony Forest Products, Arkansas</t>
  </si>
  <si>
    <t>El Dorado</t>
  </si>
  <si>
    <t>Arkansas</t>
  </si>
  <si>
    <t>Arizona Structural Laminators, Arizona</t>
  </si>
  <si>
    <t>Eagar</t>
  </si>
  <si>
    <t>Arizona</t>
  </si>
  <si>
    <t>Boise Cascade, Idaho</t>
  </si>
  <si>
    <t>Homedale</t>
  </si>
  <si>
    <t>Idaho</t>
  </si>
  <si>
    <t>Boise Cascade, Oregon</t>
  </si>
  <si>
    <t>White City</t>
  </si>
  <si>
    <t>Oregon</t>
  </si>
  <si>
    <t>Boozer Laminated Beam , Alabama</t>
  </si>
  <si>
    <t>Anniston</t>
  </si>
  <si>
    <t>Alabama</t>
  </si>
  <si>
    <t>D.R. Johnson, Oregon</t>
  </si>
  <si>
    <t>Riddle</t>
  </si>
  <si>
    <t>Freres Lumber , Oregon</t>
  </si>
  <si>
    <t>Lyons</t>
  </si>
  <si>
    <t>Gruen-Wald Engineered Laminates, South Dakota</t>
  </si>
  <si>
    <t>Tea</t>
  </si>
  <si>
    <t>South Dakota</t>
  </si>
  <si>
    <t>Kalesnikoff, British Columbia</t>
  </si>
  <si>
    <t>Castlegar</t>
  </si>
  <si>
    <t>British Columbia</t>
  </si>
  <si>
    <t>Canada</t>
  </si>
  <si>
    <t>Mercer International, Washington</t>
  </si>
  <si>
    <t>Spokane</t>
  </si>
  <si>
    <t>Conway</t>
  </si>
  <si>
    <t>Mercer International, British Columbia</t>
  </si>
  <si>
    <t>Okanagan Falls</t>
  </si>
  <si>
    <t>Mississippi Laminators, Mississippi</t>
  </si>
  <si>
    <t>Shubuta</t>
  </si>
  <si>
    <t>Mississippi</t>
  </si>
  <si>
    <t>QB Corporation, Idaho</t>
  </si>
  <si>
    <t>Salmon</t>
  </si>
  <si>
    <t>Rosboro, Oregon</t>
  </si>
  <si>
    <t>Springfield</t>
  </si>
  <si>
    <t>Shelton Lam and Deck, Washington</t>
  </si>
  <si>
    <t>Chehalis</t>
  </si>
  <si>
    <t>Smartlam, Montana</t>
  </si>
  <si>
    <t>Columbia Falls</t>
  </si>
  <si>
    <t>Montana</t>
  </si>
  <si>
    <t>Smartlam, Alabama</t>
  </si>
  <si>
    <t>Dothan</t>
  </si>
  <si>
    <t>Stark Truss, Ohio</t>
  </si>
  <si>
    <t>Canton</t>
  </si>
  <si>
    <t>Ohio</t>
  </si>
  <si>
    <t>Timberlab, Oregan</t>
  </si>
  <si>
    <t>Portland</t>
  </si>
  <si>
    <t>Oregan</t>
  </si>
  <si>
    <t>Timberlab, South Carolina</t>
  </si>
  <si>
    <t>Greenville</t>
  </si>
  <si>
    <t>South Carolina</t>
  </si>
  <si>
    <t>Vaagen Timbers, Washington</t>
  </si>
  <si>
    <t>Colville</t>
  </si>
  <si>
    <t>Zip-O Laminators, Oregon</t>
  </si>
  <si>
    <t>Eugene</t>
  </si>
  <si>
    <t>city</t>
  </si>
  <si>
    <t>lat</t>
  </si>
  <si>
    <t>long</t>
  </si>
  <si>
    <t>New York City, NY</t>
  </si>
  <si>
    <t>Los Angeles, CA</t>
  </si>
  <si>
    <t>Chicago, IL</t>
  </si>
  <si>
    <t>Houston, TX</t>
  </si>
  <si>
    <t>Phoenix, AZ</t>
  </si>
  <si>
    <t>Philadelphia, PA</t>
  </si>
  <si>
    <t>San Antonio, TX</t>
  </si>
  <si>
    <t>San Diego, CA</t>
  </si>
  <si>
    <t>San Jose, CA</t>
  </si>
  <si>
    <t>Austin, TX</t>
  </si>
  <si>
    <t>Jacksonville, FL</t>
  </si>
  <si>
    <t>Fort Worth, TX</t>
  </si>
  <si>
    <t>Columbus, OH</t>
  </si>
  <si>
    <t>Charlotte, NC</t>
  </si>
  <si>
    <t>San Francisco, CA</t>
  </si>
  <si>
    <t>Indianapolis, IN</t>
  </si>
  <si>
    <t>Seattle, WA</t>
  </si>
  <si>
    <t>Denver, CO</t>
  </si>
  <si>
    <t>Washington, D.C.</t>
  </si>
  <si>
    <t>Boston, MA</t>
  </si>
  <si>
    <t>El Paso, TX</t>
  </si>
  <si>
    <t>Detroit, MI</t>
  </si>
  <si>
    <t>Nashville, TN</t>
  </si>
  <si>
    <t>Portland, OR</t>
  </si>
  <si>
    <t>Memphis, TN</t>
  </si>
  <si>
    <t>Oklahoma City, OK</t>
  </si>
  <si>
    <t>Las Vegas, NV</t>
  </si>
  <si>
    <t>Louisville, KY</t>
  </si>
  <si>
    <t>Baltimore, MD</t>
  </si>
  <si>
    <t>Milwaukee, WI</t>
  </si>
  <si>
    <t>Albuquerque, NM</t>
  </si>
  <si>
    <t>Tucson, AZ</t>
  </si>
  <si>
    <t>Fresno, CA</t>
  </si>
  <si>
    <t>Sacramento, CA</t>
  </si>
  <si>
    <t>Kansas City, MO</t>
  </si>
  <si>
    <t>Mesa, AZ</t>
  </si>
  <si>
    <t>Atlanta, GA</t>
  </si>
  <si>
    <t>Omaha, NE</t>
  </si>
  <si>
    <t>Colorado Springs, CO</t>
  </si>
  <si>
    <t>Species</t>
  </si>
  <si>
    <t>Height (m)</t>
  </si>
  <si>
    <t>Diameter(m)</t>
  </si>
  <si>
    <t>Application</t>
  </si>
  <si>
    <t>Above Ground Biomass (AGB) Kg/m3</t>
  </si>
  <si>
    <t>Slash Generated</t>
  </si>
  <si>
    <t>Dried Weight (Kg/m3)</t>
  </si>
  <si>
    <t>Decomposition Rate [Per Year]</t>
  </si>
  <si>
    <t>Structural</t>
  </si>
  <si>
    <t>500-800</t>
  </si>
  <si>
    <t>700-1000</t>
  </si>
  <si>
    <t>600-900</t>
  </si>
  <si>
    <t>500-900</t>
  </si>
  <si>
    <t>600-1000</t>
  </si>
  <si>
    <t>400-800</t>
  </si>
  <si>
    <t>Siding, Roofing, Exterior Use</t>
  </si>
  <si>
    <t>400-700</t>
  </si>
  <si>
    <t>Shrinkage</t>
  </si>
  <si>
    <t>Sawmill</t>
  </si>
  <si>
    <t>Log</t>
  </si>
  <si>
    <t>Wood Burning Emission Factor</t>
  </si>
  <si>
    <t>Kg CO2/ Kg Wood</t>
  </si>
  <si>
    <t>LCA biogenic</t>
  </si>
  <si>
    <t>Kg CO2/Ft3</t>
  </si>
  <si>
    <t>Decay</t>
  </si>
  <si>
    <t>Mass loss due to decomposition each year</t>
  </si>
  <si>
    <t>AGB</t>
  </si>
  <si>
    <t>BGB</t>
  </si>
  <si>
    <t>Weight Loss</t>
  </si>
  <si>
    <t>Diameter(cm)</t>
  </si>
  <si>
    <t>Dried Weight (g/cm3)</t>
  </si>
  <si>
    <r>
      <t>M</t>
    </r>
    <r>
      <rPr>
        <sz val="8"/>
        <color theme="1"/>
        <rFont val="Arial"/>
        <family val="2"/>
      </rPr>
      <t>0</t>
    </r>
  </si>
  <si>
    <t>K</t>
  </si>
  <si>
    <r>
      <t>M</t>
    </r>
    <r>
      <rPr>
        <sz val="8"/>
        <color theme="1"/>
        <rFont val="Arial"/>
        <family val="2"/>
      </rPr>
      <t>t</t>
    </r>
  </si>
  <si>
    <t>Time</t>
  </si>
  <si>
    <t>exponential decay model</t>
  </si>
  <si>
    <t>BGB Difference</t>
  </si>
  <si>
    <t>Weight Percentage</t>
  </si>
  <si>
    <t>CO2 Equivalent</t>
  </si>
  <si>
    <t>AGB Accumulative</t>
  </si>
  <si>
    <t>BGB Accumulative</t>
  </si>
  <si>
    <t xml:space="preserve">BGB </t>
  </si>
  <si>
    <t xml:space="preserve">The tool gets the volume of wood used in the mass timber as well as the type of the tree species used in the project. In the next step, the user selects the treatment of tree slash. </t>
  </si>
  <si>
    <t>Using the user inputs, the tool calculates the above and below ground biomass for the slash and thus, the amount of biogenic release carbon</t>
  </si>
  <si>
    <t xml:space="preserve">EPD </t>
  </si>
  <si>
    <t>New EPD</t>
  </si>
  <si>
    <t># of Shipments</t>
  </si>
  <si>
    <t>Tree Specis and their native forest</t>
  </si>
  <si>
    <t>To evaluate the embodied carbon of MT products, One Click LCA Carbon Accounting too has been selected for the Whole Building Life Cycle Assessment</t>
  </si>
  <si>
    <t>Amount of emission for the total shipment</t>
  </si>
  <si>
    <t>Site Composting</t>
  </si>
  <si>
    <t>Slash Releasedd Biogenic Carbon _ Site Composting</t>
  </si>
  <si>
    <t>Slash Releasedd Biogenic Carbon _ Pile Burning</t>
  </si>
  <si>
    <t>Slash Releasedd Biogenic Carbon _ Mastication</t>
  </si>
  <si>
    <t>Adjusted EPD</t>
  </si>
  <si>
    <t xml:space="preserve"> Biogenic Carbon _ Site Composting</t>
  </si>
  <si>
    <t xml:space="preserve">Biogenic Carbon _ Current Industry Practice </t>
  </si>
  <si>
    <t>Biogenic Carbon _ Pile Burning</t>
  </si>
  <si>
    <t>Biogenic Carbon _ Mastication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</si>
</sst>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color theme="1"/>
      <name val="Arial"/>
      <family val="2"/>
    </font>
    <font>
      <b/>
      <sz val="10"/>
      <color theme="0"/>
      <name val="Arial"/>
      <family val="2"/>
    </font>
    <font>
      <b/>
      <sz val="10"/>
      <color theme="1"/>
      <name val="Arial"/>
      <family val="2"/>
    </font>
    <font>
      <b/>
      <sz val="18"/>
      <color theme="1"/>
      <name val="Arial"/>
      <family val="2"/>
    </font>
    <font>
      <sz val="18"/>
      <color theme="1"/>
      <name val="Arial"/>
      <family val="2"/>
    </font>
    <font>
      <i/>
      <sz val="10"/>
      <color theme="1"/>
      <name val="Arial"/>
      <family val="2"/>
    </font>
    <font>
      <sz val="8"/>
      <color theme="1"/>
      <name val="Arial"/>
      <family val="2"/>
    </font>
    <font>
      <b/>
      <sz val="16"/>
      <color theme="1"/>
      <name val="Arial"/>
      <family val="2"/>
    </font>
    <font>
      <sz val="8"/>
      <name val="Arial"/>
      <family val="2"/>
    </font>
    <font>
      <sz val="10"/>
      <color theme="1"/>
      <name val="Arial"/>
      <family val="2"/>
    </font>
    <font>
      <sz val="10"/>
      <color theme="0"/>
      <name val="Arial"/>
      <family val="2"/>
    </font>
    <font>
      <b/>
      <sz val="11"/>
      <color theme="1"/>
      <name val="Aptos Narrow"/>
      <family val="2"/>
      <scheme val="minor"/>
    </font>
    <font>
      <sz val="10"/>
      <color theme="1"/>
      <name val="Arial Unicode MS"/>
      <family val="2"/>
    </font>
    <font>
      <sz val="9"/>
      <color theme="1"/>
      <name val="Arial"/>
      <family val="2"/>
    </font>
    <font>
      <b/>
      <sz val="12"/>
      <color theme="1"/>
      <name val="Arial"/>
      <family val="2"/>
    </font>
    <font>
      <u/>
      <sz val="10"/>
      <color theme="10"/>
      <name val="Arial"/>
      <family val="2"/>
    </font>
  </fonts>
  <fills count="18">
    <fill>
      <patternFill patternType="none"/>
    </fill>
    <fill>
      <patternFill patternType="gray125"/>
    </fill>
    <fill>
      <patternFill patternType="solid">
        <fgColor rgb="FFFFD100"/>
        <bgColor indexed="64"/>
      </patternFill>
    </fill>
    <fill>
      <patternFill patternType="solid">
        <fgColor theme="0" tint="-4.9989318521683403E-2"/>
        <bgColor indexed="64"/>
      </patternFill>
    </fill>
    <fill>
      <patternFill patternType="solid">
        <fgColor rgb="FF0070C0"/>
        <bgColor indexed="64"/>
      </patternFill>
    </fill>
    <fill>
      <patternFill patternType="solid">
        <fgColor theme="3" tint="0.749992370372631"/>
        <bgColor indexed="64"/>
      </patternFill>
    </fill>
    <fill>
      <patternFill patternType="solid">
        <fgColor theme="3" tint="0.89999084444715716"/>
        <bgColor indexed="64"/>
      </patternFill>
    </fill>
    <fill>
      <patternFill patternType="solid">
        <fgColor theme="0" tint="-0.14999847407452621"/>
        <bgColor indexed="64"/>
      </patternFill>
    </fill>
    <fill>
      <patternFill patternType="solid">
        <fgColor rgb="FFCEE6C2"/>
        <bgColor indexed="64"/>
      </patternFill>
    </fill>
    <fill>
      <patternFill patternType="solid">
        <fgColor rgb="FF7CC362"/>
        <bgColor indexed="64"/>
      </patternFill>
    </fill>
    <fill>
      <patternFill patternType="solid">
        <fgColor rgb="FFE15620"/>
        <bgColor indexed="64"/>
      </patternFill>
    </fill>
    <fill>
      <patternFill patternType="solid">
        <fgColor rgb="FFFFEAB1"/>
        <bgColor indexed="64"/>
      </patternFill>
    </fill>
    <fill>
      <patternFill patternType="solid">
        <fgColor rgb="FF92D050"/>
        <bgColor indexed="64"/>
      </patternFill>
    </fill>
    <fill>
      <patternFill patternType="solid">
        <fgColor theme="1"/>
        <bgColor indexed="64"/>
      </patternFill>
    </fill>
    <fill>
      <patternFill patternType="solid">
        <fgColor theme="2"/>
        <bgColor indexed="64"/>
      </patternFill>
    </fill>
    <fill>
      <patternFill patternType="solid">
        <fgColor rgb="FFFFC000"/>
        <bgColor indexed="64"/>
      </patternFill>
    </fill>
    <fill>
      <patternFill patternType="solid">
        <fgColor theme="0" tint="-0.249977111117893"/>
        <bgColor indexed="64"/>
      </patternFill>
    </fill>
    <fill>
      <patternFill patternType="solid">
        <fgColor theme="0" tint="-0.3499862666707357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9" fontId="9" fillId="0" borderId="0" applyFont="0" applyFill="0" applyBorder="0" applyAlignment="0" applyProtection="0"/>
    <xf numFmtId="0" fontId="15" fillId="0" borderId="0" applyNumberFormat="0" applyFill="0" applyBorder="0" applyAlignment="0" applyProtection="0"/>
  </cellStyleXfs>
  <cellXfs count="75">
    <xf numFmtId="0" fontId="0" fillId="0" borderId="0" xfId="0"/>
    <xf numFmtId="0" fontId="0" fillId="3" borderId="0" xfId="0" applyFill="1"/>
    <xf numFmtId="0" fontId="0" fillId="3" borderId="0" xfId="0" applyFill="1" applyAlignment="1">
      <alignment horizontal="center"/>
    </xf>
    <xf numFmtId="0" fontId="0" fillId="3" borderId="0" xfId="0" applyFill="1" applyAlignment="1">
      <alignment horizontal="left"/>
    </xf>
    <xf numFmtId="0" fontId="2" fillId="3" borderId="0" xfId="0" applyFont="1" applyFill="1"/>
    <xf numFmtId="0" fontId="2" fillId="0" borderId="0" xfId="0" applyFont="1"/>
    <xf numFmtId="0" fontId="2" fillId="0" borderId="0" xfId="0" applyFont="1" applyAlignment="1">
      <alignment horizontal="center" vertical="center" wrapText="1"/>
    </xf>
    <xf numFmtId="0" fontId="0" fillId="7" borderId="0" xfId="0" applyFill="1"/>
    <xf numFmtId="9" fontId="0" fillId="0" borderId="0" xfId="0" applyNumberFormat="1"/>
    <xf numFmtId="0" fontId="0" fillId="3" borderId="0" xfId="0" applyFill="1" applyAlignment="1">
      <alignment horizontal="center" vertical="center"/>
    </xf>
    <xf numFmtId="10" fontId="0" fillId="0" borderId="0" xfId="0" applyNumberFormat="1"/>
    <xf numFmtId="0" fontId="0" fillId="7" borderId="0" xfId="0" applyFill="1" applyAlignment="1">
      <alignment horizontal="center"/>
    </xf>
    <xf numFmtId="0" fontId="6" fillId="3" borderId="0" xfId="0" applyFont="1" applyFill="1" applyAlignment="1">
      <alignment horizontal="center" vertical="center" wrapText="1"/>
    </xf>
    <xf numFmtId="39" fontId="0" fillId="8" borderId="0" xfId="0" applyNumberFormat="1" applyFill="1"/>
    <xf numFmtId="39" fontId="0" fillId="10" borderId="0" xfId="0" applyNumberFormat="1" applyFill="1"/>
    <xf numFmtId="0" fontId="7" fillId="0" borderId="0" xfId="0" applyFont="1"/>
    <xf numFmtId="39" fontId="0" fillId="0" borderId="0" xfId="0" applyNumberFormat="1"/>
    <xf numFmtId="0" fontId="0" fillId="2" borderId="0" xfId="0" applyFill="1"/>
    <xf numFmtId="0" fontId="0" fillId="11" borderId="0" xfId="0" applyFill="1"/>
    <xf numFmtId="0" fontId="0" fillId="0" borderId="0" xfId="0" applyAlignment="1">
      <alignment wrapText="1"/>
    </xf>
    <xf numFmtId="0" fontId="0" fillId="0" borderId="0" xfId="0" applyAlignment="1">
      <alignment horizontal="center" vertical="center"/>
    </xf>
    <xf numFmtId="0" fontId="0" fillId="0" borderId="0" xfId="0" applyAlignment="1">
      <alignment horizontal="center" vertical="center" wrapText="1"/>
    </xf>
    <xf numFmtId="0" fontId="0" fillId="8" borderId="0" xfId="0" applyFill="1"/>
    <xf numFmtId="0" fontId="0" fillId="12" borderId="0" xfId="0" applyFill="1"/>
    <xf numFmtId="39" fontId="0" fillId="12" borderId="0" xfId="0" applyNumberFormat="1" applyFill="1"/>
    <xf numFmtId="10" fontId="0" fillId="0" borderId="0" xfId="1" applyNumberFormat="1" applyFont="1"/>
    <xf numFmtId="4" fontId="0" fillId="0" borderId="0" xfId="0" applyNumberFormat="1"/>
    <xf numFmtId="39" fontId="0" fillId="0" borderId="0" xfId="1" applyNumberFormat="1" applyFont="1"/>
    <xf numFmtId="0" fontId="0" fillId="14" borderId="0" xfId="0" applyFill="1"/>
    <xf numFmtId="0" fontId="6" fillId="14" borderId="0" xfId="0" applyFont="1" applyFill="1" applyAlignment="1">
      <alignment horizontal="center" vertical="center" wrapText="1"/>
    </xf>
    <xf numFmtId="0" fontId="11" fillId="0" borderId="1" xfId="0" applyFont="1" applyBorder="1" applyAlignment="1">
      <alignment horizontal="center" vertical="top"/>
    </xf>
    <xf numFmtId="0" fontId="12" fillId="0" borderId="0" xfId="0" applyFont="1" applyAlignment="1">
      <alignment vertical="center"/>
    </xf>
    <xf numFmtId="0" fontId="0" fillId="14" borderId="0" xfId="0" applyFill="1" applyAlignment="1">
      <alignment horizontal="center" vertical="center"/>
    </xf>
    <xf numFmtId="0" fontId="0" fillId="14" borderId="0" xfId="0" applyFill="1" applyAlignment="1">
      <alignment vertical="center"/>
    </xf>
    <xf numFmtId="0" fontId="0" fillId="3" borderId="0" xfId="0" applyFill="1" applyAlignment="1">
      <alignment horizontal="center" vertical="center" wrapText="1"/>
    </xf>
    <xf numFmtId="39" fontId="0" fillId="7" borderId="0" xfId="0" applyNumberFormat="1" applyFill="1" applyAlignment="1">
      <alignment horizontal="center" vertical="center"/>
    </xf>
    <xf numFmtId="39" fontId="0" fillId="3" borderId="0" xfId="0" applyNumberFormat="1" applyFill="1"/>
    <xf numFmtId="0" fontId="3" fillId="0" borderId="0" xfId="0" applyFont="1"/>
    <xf numFmtId="0" fontId="0" fillId="0" borderId="0" xfId="0" applyAlignment="1">
      <alignment horizontal="center"/>
    </xf>
    <xf numFmtId="0" fontId="13" fillId="3" borderId="0" xfId="0" applyFont="1" applyFill="1" applyAlignment="1">
      <alignment wrapText="1"/>
    </xf>
    <xf numFmtId="0" fontId="2" fillId="2" borderId="0" xfId="0" applyFont="1" applyFill="1"/>
    <xf numFmtId="2" fontId="0" fillId="0" borderId="0" xfId="0" applyNumberFormat="1" applyAlignment="1">
      <alignment horizontal="center" vertical="center"/>
    </xf>
    <xf numFmtId="0" fontId="2" fillId="0" borderId="0" xfId="0" applyFont="1" applyAlignment="1">
      <alignment horizontal="center" vertical="center"/>
    </xf>
    <xf numFmtId="2" fontId="0" fillId="0" borderId="0" xfId="0" applyNumberFormat="1" applyAlignment="1">
      <alignment horizontal="center"/>
    </xf>
    <xf numFmtId="0" fontId="6" fillId="14" borderId="0" xfId="0" applyFont="1" applyFill="1" applyAlignment="1">
      <alignment horizontal="left" vertical="center" wrapText="1"/>
    </xf>
    <xf numFmtId="0" fontId="0" fillId="3" borderId="0" xfId="0" applyFill="1" applyAlignment="1">
      <alignment horizontal="left" vertical="center"/>
    </xf>
    <xf numFmtId="0" fontId="0" fillId="5" borderId="0" xfId="0" applyFill="1" applyAlignment="1">
      <alignment horizontal="center" vertical="center"/>
    </xf>
    <xf numFmtId="0" fontId="15" fillId="0" borderId="0" xfId="2"/>
    <xf numFmtId="2" fontId="0" fillId="3" borderId="0" xfId="0" applyNumberFormat="1" applyFill="1" applyAlignment="1">
      <alignment horizontal="center"/>
    </xf>
    <xf numFmtId="0" fontId="1" fillId="4" borderId="0" xfId="0" applyFont="1" applyFill="1" applyAlignment="1" applyProtection="1">
      <alignment horizontal="center"/>
      <protection locked="0"/>
    </xf>
    <xf numFmtId="0" fontId="5" fillId="5" borderId="0" xfId="0" applyFont="1" applyFill="1" applyAlignment="1" applyProtection="1">
      <alignment horizontal="center" vertical="center"/>
      <protection locked="0"/>
    </xf>
    <xf numFmtId="0" fontId="0" fillId="3" borderId="0" xfId="0" applyFill="1" applyProtection="1">
      <protection locked="0"/>
    </xf>
    <xf numFmtId="0" fontId="0" fillId="5" borderId="0" xfId="0" applyFill="1" applyAlignment="1" applyProtection="1">
      <alignment horizontal="center"/>
      <protection locked="0"/>
    </xf>
    <xf numFmtId="39" fontId="0" fillId="6" borderId="0" xfId="0" applyNumberFormat="1" applyFill="1" applyAlignment="1" applyProtection="1">
      <alignment horizontal="center" vertical="center"/>
      <protection locked="0"/>
    </xf>
    <xf numFmtId="0" fontId="0" fillId="3" borderId="0" xfId="0" applyFill="1" applyAlignment="1" applyProtection="1">
      <alignment horizontal="left"/>
      <protection locked="0"/>
    </xf>
    <xf numFmtId="0" fontId="0" fillId="5" borderId="0" xfId="0" applyFill="1" applyProtection="1">
      <protection locked="0"/>
    </xf>
    <xf numFmtId="0" fontId="0" fillId="14" borderId="0" xfId="0" applyFill="1" applyProtection="1">
      <protection locked="0"/>
    </xf>
    <xf numFmtId="4" fontId="2" fillId="16" borderId="0" xfId="0" applyNumberFormat="1" applyFont="1" applyFill="1" applyAlignment="1" applyProtection="1">
      <alignment horizontal="center"/>
      <protection hidden="1"/>
    </xf>
    <xf numFmtId="37" fontId="0" fillId="17" borderId="0" xfId="0" applyNumberFormat="1" applyFill="1" applyAlignment="1" applyProtection="1">
      <alignment horizontal="center" vertical="center"/>
      <protection hidden="1"/>
    </xf>
    <xf numFmtId="39" fontId="0" fillId="15" borderId="0" xfId="0" applyNumberFormat="1" applyFill="1" applyProtection="1">
      <protection hidden="1"/>
    </xf>
    <xf numFmtId="0" fontId="0" fillId="7" borderId="0" xfId="0" applyFill="1" applyAlignment="1" applyProtection="1">
      <alignment horizontal="center"/>
      <protection hidden="1"/>
    </xf>
    <xf numFmtId="39" fontId="0" fillId="7" borderId="0" xfId="0" applyNumberFormat="1" applyFill="1" applyAlignment="1" applyProtection="1">
      <alignment horizontal="center"/>
      <protection hidden="1"/>
    </xf>
    <xf numFmtId="39" fontId="0" fillId="7" borderId="0" xfId="0" applyNumberFormat="1" applyFill="1" applyProtection="1">
      <protection hidden="1"/>
    </xf>
    <xf numFmtId="0" fontId="0" fillId="7" borderId="0" xfId="0" applyFill="1" applyProtection="1">
      <protection hidden="1"/>
    </xf>
    <xf numFmtId="4" fontId="0" fillId="9" borderId="0" xfId="0" applyNumberFormat="1" applyFill="1" applyAlignment="1" applyProtection="1">
      <alignment horizontal="center"/>
      <protection hidden="1"/>
    </xf>
    <xf numFmtId="39" fontId="0" fillId="8" borderId="0" xfId="0" applyNumberFormat="1" applyFill="1" applyAlignment="1" applyProtection="1">
      <alignment horizontal="center"/>
      <protection hidden="1"/>
    </xf>
    <xf numFmtId="4" fontId="10" fillId="13" borderId="0" xfId="0" applyNumberFormat="1" applyFont="1" applyFill="1" applyAlignment="1" applyProtection="1">
      <alignment horizontal="center" vertical="center"/>
      <protection hidden="1"/>
    </xf>
    <xf numFmtId="10" fontId="0" fillId="7" borderId="0" xfId="1" applyNumberFormat="1" applyFont="1" applyFill="1" applyAlignment="1" applyProtection="1">
      <alignment horizontal="center"/>
      <protection hidden="1"/>
    </xf>
    <xf numFmtId="0" fontId="0" fillId="3" borderId="0" xfId="0" applyFill="1" applyAlignment="1">
      <alignment horizontal="left" vertical="top" wrapText="1"/>
    </xf>
    <xf numFmtId="0" fontId="14" fillId="2" borderId="0" xfId="0" applyFont="1" applyFill="1" applyAlignment="1">
      <alignment horizontal="left"/>
    </xf>
    <xf numFmtId="0" fontId="3" fillId="2" borderId="0" xfId="0" applyFont="1" applyFill="1" applyAlignment="1">
      <alignment horizontal="left"/>
    </xf>
    <xf numFmtId="0" fontId="4" fillId="2" borderId="0" xfId="0" applyFont="1" applyFill="1" applyAlignment="1">
      <alignment horizontal="left"/>
    </xf>
    <xf numFmtId="0" fontId="13" fillId="3" borderId="0" xfId="0" applyFont="1" applyFill="1" applyAlignment="1">
      <alignment horizontal="center" wrapText="1"/>
    </xf>
    <xf numFmtId="0" fontId="13" fillId="3" borderId="0" xfId="0" applyFont="1" applyFill="1" applyAlignment="1">
      <alignment horizontal="left" wrapText="1"/>
    </xf>
    <xf numFmtId="0" fontId="0" fillId="0" borderId="0" xfId="0" applyAlignment="1">
      <alignment horizontal="center"/>
    </xf>
  </cellXfs>
  <cellStyles count="3">
    <cellStyle name="Hyperlink" xfId="2" builtinId="8"/>
    <cellStyle name="Normal" xfId="0" builtinId="0"/>
    <cellStyle name="Percent" xfId="1" builtinId="5"/>
  </cellStyles>
  <dxfs count="0"/>
  <tableStyles count="0" defaultTableStyle="TableStyleMedium2" defaultPivotStyle="PivotStyleLight16"/>
  <colors>
    <mruColors>
      <color rgb="FFE45620"/>
      <color rgb="FF7CC362"/>
      <color rgb="FF36B5C8"/>
      <color rgb="FFFFD100"/>
      <color rgb="FF1C4F78"/>
      <color rgb="FFE15620"/>
      <color rgb="FFCEE6C2"/>
      <color rgb="FFFFEAB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theme" Target="theme/them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600" b="1"/>
              <a:t>Average CO2e Release Over a Decade Through Decomposition</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'Pile Slash Decomposition'!$BL$47</c:f>
              <c:strCache>
                <c:ptCount val="1"/>
                <c:pt idx="0">
                  <c:v>Alaska Yellow Cedar</c:v>
                </c:pt>
              </c:strCache>
            </c:strRef>
          </c:tx>
          <c:spPr>
            <a:ln w="28575" cap="rnd">
              <a:solidFill>
                <a:schemeClr val="accent1"/>
              </a:solidFill>
              <a:round/>
            </a:ln>
            <a:effectLst/>
          </c:spPr>
          <c:marker>
            <c:symbol val="none"/>
          </c:marker>
          <c:cat>
            <c:numRef>
              <c:f>'Pile Slash Decomposition'!$BM$46:$BV$46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Decomposition'!$BM$47:$BV$47</c:f>
              <c:numCache>
                <c:formatCode>#,##0.00_);\(#,##0.00\)</c:formatCode>
                <c:ptCount val="10"/>
                <c:pt idx="0">
                  <c:v>1464.9513839277215</c:v>
                </c:pt>
                <c:pt idx="1">
                  <c:v>2825.4769914140352</c:v>
                </c:pt>
                <c:pt idx="2">
                  <c:v>4089.2183932614153</c:v>
                </c:pt>
                <c:pt idx="3">
                  <c:v>5263.2650070071641</c:v>
                </c:pt>
                <c:pt idx="4">
                  <c:v>6354.1939935933788</c:v>
                </c:pt>
                <c:pt idx="5">
                  <c:v>7368.1072712426258</c:v>
                </c:pt>
                <c:pt idx="6">
                  <c:v>8310.6658548400046</c:v>
                </c:pt>
                <c:pt idx="7">
                  <c:v>9187.1217140711651</c:v>
                </c:pt>
                <c:pt idx="8">
                  <c:v>10002.347329602377</c:v>
                </c:pt>
                <c:pt idx="9">
                  <c:v>10760.863113634026</c:v>
                </c:pt>
              </c:numCache>
            </c:numRef>
          </c:val>
          <c:smooth val="0"/>
          <c:extLst>
            <c:ext xmlns:c16="http://schemas.microsoft.com/office/drawing/2014/chart" uri="{C3380CC4-5D6E-409C-BE32-E72D297353CC}">
              <c16:uniqueId val="{00000000-0E82-44EC-9486-C7DE241D6E70}"/>
            </c:ext>
          </c:extLst>
        </c:ser>
        <c:ser>
          <c:idx val="1"/>
          <c:order val="1"/>
          <c:tx>
            <c:strRef>
              <c:f>'Pile Slash Decomposition'!$BL$48</c:f>
              <c:strCache>
                <c:ptCount val="1"/>
                <c:pt idx="0">
                  <c:v>Douglas Fir</c:v>
                </c:pt>
              </c:strCache>
            </c:strRef>
          </c:tx>
          <c:spPr>
            <a:ln w="28575" cap="rnd">
              <a:solidFill>
                <a:schemeClr val="accent2"/>
              </a:solidFill>
              <a:round/>
            </a:ln>
            <a:effectLst/>
          </c:spPr>
          <c:marker>
            <c:symbol val="none"/>
          </c:marker>
          <c:cat>
            <c:numRef>
              <c:f>'Pile Slash Decomposition'!$BM$46:$BV$46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Decomposition'!$BM$48:$BV$48</c:f>
              <c:numCache>
                <c:formatCode>#,##0.00_);\(#,##0.00\)</c:formatCode>
                <c:ptCount val="10"/>
                <c:pt idx="0">
                  <c:v>5747.6635234615223</c:v>
                </c:pt>
                <c:pt idx="1">
                  <c:v>10837.176981157752</c:v>
                </c:pt>
                <c:pt idx="2">
                  <c:v>15344.630917193961</c:v>
                </c:pt>
                <c:pt idx="3">
                  <c:v>19337.264897352106</c:v>
                </c:pt>
                <c:pt idx="4">
                  <c:v>22874.501030866188</c:v>
                </c:pt>
                <c:pt idx="5">
                  <c:v>26008.856519536748</c:v>
                </c:pt>
                <c:pt idx="6">
                  <c:v>28786.749414933169</c:v>
                </c:pt>
                <c:pt idx="7">
                  <c:v>31249.210100601304</c:v>
                </c:pt>
                <c:pt idx="8">
                  <c:v>33432.509547690643</c:v>
                </c:pt>
                <c:pt idx="9">
                  <c:v>35368.714096301512</c:v>
                </c:pt>
              </c:numCache>
            </c:numRef>
          </c:val>
          <c:smooth val="0"/>
          <c:extLst>
            <c:ext xmlns:c16="http://schemas.microsoft.com/office/drawing/2014/chart" uri="{C3380CC4-5D6E-409C-BE32-E72D297353CC}">
              <c16:uniqueId val="{00000001-0E82-44EC-9486-C7DE241D6E70}"/>
            </c:ext>
          </c:extLst>
        </c:ser>
        <c:ser>
          <c:idx val="2"/>
          <c:order val="2"/>
          <c:tx>
            <c:strRef>
              <c:f>'Pile Slash Decomposition'!$BL$49</c:f>
              <c:strCache>
                <c:ptCount val="1"/>
                <c:pt idx="0">
                  <c:v>Hemlock Fir</c:v>
                </c:pt>
              </c:strCache>
            </c:strRef>
          </c:tx>
          <c:spPr>
            <a:ln w="28575" cap="rnd">
              <a:solidFill>
                <a:schemeClr val="accent3"/>
              </a:solidFill>
              <a:round/>
            </a:ln>
            <a:effectLst/>
          </c:spPr>
          <c:marker>
            <c:symbol val="none"/>
          </c:marker>
          <c:cat>
            <c:numRef>
              <c:f>'Pile Slash Decomposition'!$BM$46:$BV$46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Decomposition'!$BM$49:$BV$49</c:f>
              <c:numCache>
                <c:formatCode>#,##0.00_);\(#,##0.00\)</c:formatCode>
                <c:ptCount val="10"/>
                <c:pt idx="0">
                  <c:v>3863.8519320217206</c:v>
                </c:pt>
                <c:pt idx="1">
                  <c:v>7219.9055044708366</c:v>
                </c:pt>
                <c:pt idx="2">
                  <c:v>10135.320250349272</c:v>
                </c:pt>
                <c:pt idx="3">
                  <c:v>12668.320722019334</c:v>
                </c:pt>
                <c:pt idx="4">
                  <c:v>14869.391734160075</c:v>
                </c:pt>
                <c:pt idx="5">
                  <c:v>16782.312915174254</c:v>
                </c:pt>
                <c:pt idx="6">
                  <c:v>18445.054269018408</c:v>
                </c:pt>
                <c:pt idx="7">
                  <c:v>19890.551506545697</c:v>
                </c:pt>
                <c:pt idx="8">
                  <c:v>21147.377363084877</c:v>
                </c:pt>
                <c:pt idx="9">
                  <c:v>22240.322922445041</c:v>
                </c:pt>
              </c:numCache>
            </c:numRef>
          </c:val>
          <c:smooth val="0"/>
          <c:extLst>
            <c:ext xmlns:c16="http://schemas.microsoft.com/office/drawing/2014/chart" uri="{C3380CC4-5D6E-409C-BE32-E72D297353CC}">
              <c16:uniqueId val="{00000002-0E82-44EC-9486-C7DE241D6E70}"/>
            </c:ext>
          </c:extLst>
        </c:ser>
        <c:ser>
          <c:idx val="3"/>
          <c:order val="3"/>
          <c:tx>
            <c:strRef>
              <c:f>'Pile Slash Decomposition'!$BL$50</c:f>
              <c:strCache>
                <c:ptCount val="1"/>
                <c:pt idx="0">
                  <c:v>Ponderosa Pine</c:v>
                </c:pt>
              </c:strCache>
            </c:strRef>
          </c:tx>
          <c:spPr>
            <a:ln w="28575" cap="rnd">
              <a:solidFill>
                <a:schemeClr val="accent4"/>
              </a:solidFill>
              <a:round/>
            </a:ln>
            <a:effectLst/>
          </c:spPr>
          <c:marker>
            <c:symbol val="none"/>
          </c:marker>
          <c:cat>
            <c:numRef>
              <c:f>'Pile Slash Decomposition'!$BM$46:$BV$46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Decomposition'!$BM$50:$BV$50</c:f>
              <c:numCache>
                <c:formatCode>#,##0.00_);\(#,##0.00\)</c:formatCode>
                <c:ptCount val="10"/>
                <c:pt idx="0">
                  <c:v>1359.416443828477</c:v>
                </c:pt>
                <c:pt idx="1">
                  <c:v>2529.4770203150338</c:v>
                </c:pt>
                <c:pt idx="2">
                  <c:v>3536.5574913975152</c:v>
                </c:pt>
                <c:pt idx="3">
                  <c:v>4403.3596857601106</c:v>
                </c:pt>
                <c:pt idx="4">
                  <c:v>5149.4232484307404</c:v>
                </c:pt>
                <c:pt idx="5">
                  <c:v>5791.566107741447</c:v>
                </c:pt>
                <c:pt idx="6">
                  <c:v>6344.2635887545666</c:v>
                </c:pt>
                <c:pt idx="7">
                  <c:v>6819.9747192125951</c:v>
                </c:pt>
                <c:pt idx="8">
                  <c:v>7229.4230836720008</c:v>
                </c:pt>
                <c:pt idx="9">
                  <c:v>7581.8385568964068</c:v>
                </c:pt>
              </c:numCache>
            </c:numRef>
          </c:val>
          <c:smooth val="0"/>
          <c:extLst>
            <c:ext xmlns:c16="http://schemas.microsoft.com/office/drawing/2014/chart" uri="{C3380CC4-5D6E-409C-BE32-E72D297353CC}">
              <c16:uniqueId val="{00000003-0E82-44EC-9486-C7DE241D6E70}"/>
            </c:ext>
          </c:extLst>
        </c:ser>
        <c:ser>
          <c:idx val="4"/>
          <c:order val="4"/>
          <c:tx>
            <c:strRef>
              <c:f>'Pile Slash Decomposition'!$BL$51</c:f>
              <c:strCache>
                <c:ptCount val="1"/>
                <c:pt idx="0">
                  <c:v>Southern Yellow Pine</c:v>
                </c:pt>
              </c:strCache>
            </c:strRef>
          </c:tx>
          <c:spPr>
            <a:ln w="28575" cap="rnd">
              <a:solidFill>
                <a:schemeClr val="accent5"/>
              </a:solidFill>
              <a:round/>
            </a:ln>
            <a:effectLst/>
          </c:spPr>
          <c:marker>
            <c:symbol val="none"/>
          </c:marker>
          <c:cat>
            <c:numRef>
              <c:f>'Pile Slash Decomposition'!$BM$46:$BV$46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Decomposition'!$BM$51:$BV$51</c:f>
              <c:numCache>
                <c:formatCode>#,##0.00_);\(#,##0.00\)</c:formatCode>
                <c:ptCount val="10"/>
                <c:pt idx="0">
                  <c:v>1030.5592534757614</c:v>
                </c:pt>
                <c:pt idx="1">
                  <c:v>1882.1421031265972</c:v>
                </c:pt>
                <c:pt idx="2">
                  <c:v>2586.1004905369996</c:v>
                </c:pt>
                <c:pt idx="3">
                  <c:v>3168.2551787548664</c:v>
                </c:pt>
                <c:pt idx="4">
                  <c:v>3649.8772174440178</c:v>
                </c:pt>
                <c:pt idx="5">
                  <c:v>4048.4944470397481</c:v>
                </c:pt>
                <c:pt idx="6">
                  <c:v>4378.5543462597316</c:v>
                </c:pt>
                <c:pt idx="7">
                  <c:v>4651.9689100128617</c:v>
                </c:pt>
                <c:pt idx="8">
                  <c:v>4878.5626377159651</c:v>
                </c:pt>
                <c:pt idx="9">
                  <c:v>5066.4409332505538</c:v>
                </c:pt>
              </c:numCache>
            </c:numRef>
          </c:val>
          <c:smooth val="0"/>
          <c:extLst>
            <c:ext xmlns:c16="http://schemas.microsoft.com/office/drawing/2014/chart" uri="{C3380CC4-5D6E-409C-BE32-E72D297353CC}">
              <c16:uniqueId val="{00000004-0E82-44EC-9486-C7DE241D6E70}"/>
            </c:ext>
          </c:extLst>
        </c:ser>
        <c:ser>
          <c:idx val="5"/>
          <c:order val="5"/>
          <c:tx>
            <c:strRef>
              <c:f>'Pile Slash Decomposition'!$BL$52</c:f>
              <c:strCache>
                <c:ptCount val="1"/>
                <c:pt idx="0">
                  <c:v>Spruce Pine Fir</c:v>
                </c:pt>
              </c:strCache>
            </c:strRef>
          </c:tx>
          <c:spPr>
            <a:ln w="28575" cap="rnd">
              <a:solidFill>
                <a:schemeClr val="accent6"/>
              </a:solidFill>
              <a:round/>
            </a:ln>
            <a:effectLst/>
          </c:spPr>
          <c:marker>
            <c:symbol val="none"/>
          </c:marker>
          <c:cat>
            <c:numRef>
              <c:f>'Pile Slash Decomposition'!$BM$46:$BV$46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Decomposition'!$BM$52:$BV$52</c:f>
              <c:numCache>
                <c:formatCode>#,##0.00_);\(#,##0.00\)</c:formatCode>
                <c:ptCount val="10"/>
                <c:pt idx="0">
                  <c:v>758.09471671758286</c:v>
                </c:pt>
                <c:pt idx="1">
                  <c:v>1401.381679083556</c:v>
                </c:pt>
                <c:pt idx="2">
                  <c:v>1947.5224001157737</c:v>
                </c:pt>
                <c:pt idx="3">
                  <c:v>2411.4156181253625</c:v>
                </c:pt>
                <c:pt idx="4">
                  <c:v>2805.6369933826695</c:v>
                </c:pt>
                <c:pt idx="5">
                  <c:v>3140.8076133550985</c:v>
                </c:pt>
                <c:pt idx="6">
                  <c:v>3425.9030256719848</c:v>
                </c:pt>
                <c:pt idx="7">
                  <c:v>3668.5125588023934</c:v>
                </c:pt>
                <c:pt idx="8">
                  <c:v>3875.057063395097</c:v>
                </c:pt>
                <c:pt idx="9">
                  <c:v>4050.9718553248858</c:v>
                </c:pt>
              </c:numCache>
            </c:numRef>
          </c:val>
          <c:smooth val="0"/>
          <c:extLst>
            <c:ext xmlns:c16="http://schemas.microsoft.com/office/drawing/2014/chart" uri="{C3380CC4-5D6E-409C-BE32-E72D297353CC}">
              <c16:uniqueId val="{00000005-0E82-44EC-9486-C7DE241D6E70}"/>
            </c:ext>
          </c:extLst>
        </c:ser>
        <c:ser>
          <c:idx val="6"/>
          <c:order val="6"/>
          <c:tx>
            <c:strRef>
              <c:f>'Pile Slash Decomposition'!$BL$53</c:f>
              <c:strCache>
                <c:ptCount val="1"/>
                <c:pt idx="0">
                  <c:v>Western Red Cedar</c:v>
                </c:pt>
              </c:strCache>
            </c:strRef>
          </c:tx>
          <c:spPr>
            <a:ln w="28575" cap="rnd">
              <a:solidFill>
                <a:schemeClr val="accent1">
                  <a:lumMod val="60000"/>
                </a:schemeClr>
              </a:solidFill>
              <a:round/>
            </a:ln>
            <a:effectLst/>
          </c:spPr>
          <c:marker>
            <c:symbol val="none"/>
          </c:marker>
          <c:cat>
            <c:numRef>
              <c:f>'Pile Slash Decomposition'!$BM$46:$BV$46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Decomposition'!$BM$53:$BV$53</c:f>
              <c:numCache>
                <c:formatCode>#,##0.00_);\(#,##0.00\)</c:formatCode>
                <c:ptCount val="10"/>
                <c:pt idx="0">
                  <c:v>217.28790538028139</c:v>
                </c:pt>
                <c:pt idx="1">
                  <c:v>409.48689186525132</c:v>
                </c:pt>
                <c:pt idx="2">
                  <c:v>579.71753379764993</c:v>
                </c:pt>
                <c:pt idx="3">
                  <c:v>730.69276642977127</c:v>
                </c:pt>
                <c:pt idx="4">
                  <c:v>864.77271355741516</c:v>
                </c:pt>
                <c:pt idx="5">
                  <c:v>984.01201923605765</c:v>
                </c:pt>
                <c:pt idx="6">
                  <c:v>1090.2007175029275</c:v>
                </c:pt>
                <c:pt idx="7">
                  <c:v>1184.8995307482094</c:v>
                </c:pt>
                <c:pt idx="8">
                  <c:v>1269.4703640027235</c:v>
                </c:pt>
                <c:pt idx="9">
                  <c:v>1345.1026561694284</c:v>
                </c:pt>
              </c:numCache>
            </c:numRef>
          </c:val>
          <c:smooth val="0"/>
          <c:extLst>
            <c:ext xmlns:c16="http://schemas.microsoft.com/office/drawing/2014/chart" uri="{C3380CC4-5D6E-409C-BE32-E72D297353CC}">
              <c16:uniqueId val="{00000006-0E82-44EC-9486-C7DE241D6E70}"/>
            </c:ext>
          </c:extLst>
        </c:ser>
        <c:dLbls>
          <c:showLegendKey val="0"/>
          <c:showVal val="0"/>
          <c:showCatName val="0"/>
          <c:showSerName val="0"/>
          <c:showPercent val="0"/>
          <c:showBubbleSize val="0"/>
        </c:dLbls>
        <c:smooth val="0"/>
        <c:axId val="983707167"/>
        <c:axId val="983724927"/>
      </c:lineChart>
      <c:catAx>
        <c:axId val="983707167"/>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a:t>Years</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983724927"/>
        <c:crosses val="autoZero"/>
        <c:auto val="1"/>
        <c:lblAlgn val="ctr"/>
        <c:lblOffset val="100"/>
        <c:noMultiLvlLbl val="0"/>
      </c:catAx>
      <c:valAx>
        <c:axId val="983724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a:t>Kg CO2e  Release</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0_);\(#,##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983707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5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600" b="1">
                <a:latin typeface="Arial" panose="020B0604020202020204" pitchFamily="34" charset="0"/>
                <a:cs typeface="Arial" panose="020B0604020202020204" pitchFamily="34" charset="0"/>
              </a:rPr>
              <a:t>Wood Biogenic Carbon vs Slash Biogenic Carbon_</a:t>
            </a:r>
            <a:r>
              <a:rPr lang="en-US" sz="1600" b="1" i="0" u="none" strike="noStrike" baseline="0">
                <a:effectLst/>
              </a:rPr>
              <a:t>Site Composting</a:t>
            </a:r>
            <a:endParaRPr lang="en-US" sz="1600"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bar"/>
        <c:grouping val="clustered"/>
        <c:varyColors val="0"/>
        <c:ser>
          <c:idx val="0"/>
          <c:order val="0"/>
          <c:tx>
            <c:strRef>
              <c:f>'Calculator Interface'!$AG$12</c:f>
              <c:strCache>
                <c:ptCount val="1"/>
                <c:pt idx="0">
                  <c:v>Current Biogenic Carbon</c:v>
                </c:pt>
              </c:strCache>
            </c:strRef>
          </c:tx>
          <c:spPr>
            <a:solidFill>
              <a:schemeClr val="accent1"/>
            </a:solidFill>
            <a:ln>
              <a:noFill/>
            </a:ln>
            <a:effectLst/>
          </c:spPr>
          <c:invertIfNegative val="0"/>
          <c:cat>
            <c:strRef>
              <c:f>'Calculator Interface'!$C$14:$C$16</c:f>
              <c:strCache>
                <c:ptCount val="3"/>
                <c:pt idx="0">
                  <c:v>Structural Columns</c:v>
                </c:pt>
                <c:pt idx="1">
                  <c:v>Flooring</c:v>
                </c:pt>
                <c:pt idx="2">
                  <c:v>Framing</c:v>
                </c:pt>
              </c:strCache>
            </c:strRef>
          </c:cat>
          <c:val>
            <c:numRef>
              <c:f>'Calculator Interface'!$AG$14:$AG$16</c:f>
              <c:numCache>
                <c:formatCode>#,##0.00</c:formatCode>
                <c:ptCount val="3"/>
                <c:pt idx="0">
                  <c:v>-272888.2573336527</c:v>
                </c:pt>
                <c:pt idx="1">
                  <c:v>-1300232.2849426982</c:v>
                </c:pt>
                <c:pt idx="2">
                  <c:v>-1616295.5606780241</c:v>
                </c:pt>
              </c:numCache>
            </c:numRef>
          </c:val>
          <c:extLst>
            <c:ext xmlns:c16="http://schemas.microsoft.com/office/drawing/2014/chart" uri="{C3380CC4-5D6E-409C-BE32-E72D297353CC}">
              <c16:uniqueId val="{00000000-EB7B-4B0C-9F85-4A09F25BA74E}"/>
            </c:ext>
          </c:extLst>
        </c:ser>
        <c:ser>
          <c:idx val="1"/>
          <c:order val="1"/>
          <c:tx>
            <c:strRef>
              <c:f>'Calculator Interface'!$AK$12</c:f>
              <c:strCache>
                <c:ptCount val="1"/>
                <c:pt idx="0">
                  <c:v>Slash_ Released Biogenic Carbon</c:v>
                </c:pt>
              </c:strCache>
            </c:strRef>
          </c:tx>
          <c:spPr>
            <a:solidFill>
              <a:schemeClr val="accent2"/>
            </a:solidFill>
            <a:ln>
              <a:noFill/>
            </a:ln>
            <a:effectLst/>
          </c:spPr>
          <c:invertIfNegative val="0"/>
          <c:cat>
            <c:strRef>
              <c:f>'Calculator Interface'!$C$14:$C$16</c:f>
              <c:strCache>
                <c:ptCount val="3"/>
                <c:pt idx="0">
                  <c:v>Structural Columns</c:v>
                </c:pt>
                <c:pt idx="1">
                  <c:v>Flooring</c:v>
                </c:pt>
                <c:pt idx="2">
                  <c:v>Framing</c:v>
                </c:pt>
              </c:strCache>
            </c:strRef>
          </c:cat>
          <c:val>
            <c:numRef>
              <c:f>'Calculator Interface'!$AK$14:$AK$16</c:f>
              <c:numCache>
                <c:formatCode>#,##0.00_);\(#,##0.00\)</c:formatCode>
                <c:ptCount val="3"/>
                <c:pt idx="0">
                  <c:v>10447.433775667498</c:v>
                </c:pt>
                <c:pt idx="1">
                  <c:v>44497.02794421195</c:v>
                </c:pt>
                <c:pt idx="2">
                  <c:v>56936.641090554171</c:v>
                </c:pt>
              </c:numCache>
            </c:numRef>
          </c:val>
          <c:extLst>
            <c:ext xmlns:c16="http://schemas.microsoft.com/office/drawing/2014/chart" uri="{C3380CC4-5D6E-409C-BE32-E72D297353CC}">
              <c16:uniqueId val="{00000001-EB7B-4B0C-9F85-4A09F25BA74E}"/>
            </c:ext>
          </c:extLst>
        </c:ser>
        <c:dLbls>
          <c:showLegendKey val="0"/>
          <c:showVal val="0"/>
          <c:showCatName val="0"/>
          <c:showSerName val="0"/>
          <c:showPercent val="0"/>
          <c:showBubbleSize val="0"/>
        </c:dLbls>
        <c:gapWidth val="182"/>
        <c:axId val="1749476959"/>
        <c:axId val="1749476479"/>
      </c:barChart>
      <c:catAx>
        <c:axId val="1749476959"/>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a:latin typeface="Arial" panose="020B0604020202020204" pitchFamily="34" charset="0"/>
                    <a:cs typeface="Arial" panose="020B0604020202020204" pitchFamily="34" charset="0"/>
                  </a:rPr>
                  <a:t>Subassembly</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49476479"/>
        <c:crosses val="autoZero"/>
        <c:auto val="1"/>
        <c:lblAlgn val="ctr"/>
        <c:lblOffset val="100"/>
        <c:noMultiLvlLbl val="0"/>
      </c:catAx>
      <c:valAx>
        <c:axId val="17494764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a:latin typeface="Arial" panose="020B0604020202020204" pitchFamily="34" charset="0"/>
                    <a:cs typeface="Arial" panose="020B0604020202020204" pitchFamily="34" charset="0"/>
                  </a:rPr>
                  <a:t>Biogenic Carbon</a:t>
                </a:r>
                <a:r>
                  <a:rPr lang="en-US" sz="1200" b="1" baseline="0">
                    <a:latin typeface="Arial" panose="020B0604020202020204" pitchFamily="34" charset="0"/>
                    <a:cs typeface="Arial" panose="020B0604020202020204" pitchFamily="34" charset="0"/>
                  </a:rPr>
                  <a:t> (Kg CO2e)</a:t>
                </a:r>
                <a:endParaRPr lang="en-US" sz="1200"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49476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rial" panose="020B0604020202020204" pitchFamily="34" charset="0"/>
                <a:cs typeface="Arial" panose="020B0604020202020204" pitchFamily="34" charset="0"/>
              </a:rPr>
              <a:t>Slash Biogenic EPD based on Tree Species</a:t>
            </a:r>
          </a:p>
        </c:rich>
      </c:tx>
      <c:layout>
        <c:manualLayout>
          <c:xMode val="edge"/>
          <c:yMode val="edge"/>
          <c:x val="0.34559638641621482"/>
          <c:y val="1.33259300388672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'Calculator Interface'!$AC$128</c:f>
              <c:strCache>
                <c:ptCount val="1"/>
                <c:pt idx="0">
                  <c:v>Site Composting</c:v>
                </c:pt>
              </c:strCache>
            </c:strRef>
          </c:tx>
          <c:spPr>
            <a:solidFill>
              <a:srgbClr val="FFC000"/>
            </a:solidFill>
            <a:ln>
              <a:noFill/>
            </a:ln>
            <a:effectLst/>
          </c:spPr>
          <c:invertIfNegative val="0"/>
          <c:cat>
            <c:strRef>
              <c:f>'Calculator Interface'!$C$127:$C$133</c:f>
              <c:strCache>
                <c:ptCount val="7"/>
                <c:pt idx="0">
                  <c:v>Alaska Yellow Cedar</c:v>
                </c:pt>
                <c:pt idx="1">
                  <c:v>Douglas Fir</c:v>
                </c:pt>
                <c:pt idx="2">
                  <c:v>Hemlock Fir</c:v>
                </c:pt>
                <c:pt idx="3">
                  <c:v>Ponderosa Pine</c:v>
                </c:pt>
                <c:pt idx="4">
                  <c:v>Southern Yellow Pine</c:v>
                </c:pt>
                <c:pt idx="5">
                  <c:v>Spruce Pine Fir</c:v>
                </c:pt>
                <c:pt idx="6">
                  <c:v>Western Red Cedar</c:v>
                </c:pt>
              </c:strCache>
            </c:strRef>
          </c:cat>
          <c:val>
            <c:numRef>
              <c:f>'Calculator Interface'!$E$127:$E$133</c:f>
              <c:numCache>
                <c:formatCode>General</c:formatCode>
                <c:ptCount val="7"/>
                <c:pt idx="0">
                  <c:v>-15.6</c:v>
                </c:pt>
                <c:pt idx="1">
                  <c:v>-17.95</c:v>
                </c:pt>
                <c:pt idx="2">
                  <c:v>-18.62</c:v>
                </c:pt>
                <c:pt idx="3">
                  <c:v>-20.65</c:v>
                </c:pt>
                <c:pt idx="4">
                  <c:v>-14.98</c:v>
                </c:pt>
                <c:pt idx="5">
                  <c:v>-17.13</c:v>
                </c:pt>
                <c:pt idx="6">
                  <c:v>-27.54</c:v>
                </c:pt>
              </c:numCache>
            </c:numRef>
          </c:val>
          <c:extLst>
            <c:ext xmlns:c16="http://schemas.microsoft.com/office/drawing/2014/chart" uri="{C3380CC4-5D6E-409C-BE32-E72D297353CC}">
              <c16:uniqueId val="{00000000-F11A-4676-97B4-D3D40D964ACB}"/>
            </c:ext>
          </c:extLst>
        </c:ser>
        <c:ser>
          <c:idx val="1"/>
          <c:order val="1"/>
          <c:tx>
            <c:strRef>
              <c:f>'Calculator Interface'!$AC$129</c:f>
              <c:strCache>
                <c:ptCount val="1"/>
                <c:pt idx="0">
                  <c:v>Pile Burning</c:v>
                </c:pt>
              </c:strCache>
            </c:strRef>
          </c:tx>
          <c:spPr>
            <a:solidFill>
              <a:srgbClr val="E15620"/>
            </a:solidFill>
            <a:ln>
              <a:noFill/>
            </a:ln>
            <a:effectLst/>
          </c:spPr>
          <c:invertIfNegative val="0"/>
          <c:val>
            <c:numRef>
              <c:f>'Calculator Interface'!$E$142:$E$148</c:f>
              <c:numCache>
                <c:formatCode>General</c:formatCode>
                <c:ptCount val="7"/>
                <c:pt idx="0">
                  <c:v>-5.95</c:v>
                </c:pt>
                <c:pt idx="1">
                  <c:v>-9.51</c:v>
                </c:pt>
                <c:pt idx="2">
                  <c:v>-11.05</c:v>
                </c:pt>
                <c:pt idx="3">
                  <c:v>-15.1</c:v>
                </c:pt>
                <c:pt idx="4">
                  <c:v>-5</c:v>
                </c:pt>
                <c:pt idx="5">
                  <c:v>-8.8000000000000007</c:v>
                </c:pt>
                <c:pt idx="6">
                  <c:v>-14.3</c:v>
                </c:pt>
              </c:numCache>
            </c:numRef>
          </c:val>
          <c:extLst>
            <c:ext xmlns:c16="http://schemas.microsoft.com/office/drawing/2014/chart" uri="{C3380CC4-5D6E-409C-BE32-E72D297353CC}">
              <c16:uniqueId val="{00000000-9963-4EA7-A44E-EDB2C42D0390}"/>
            </c:ext>
          </c:extLst>
        </c:ser>
        <c:ser>
          <c:idx val="2"/>
          <c:order val="2"/>
          <c:tx>
            <c:strRef>
              <c:f>'Calculator Interface'!$AC$127</c:f>
              <c:strCache>
                <c:ptCount val="1"/>
                <c:pt idx="0">
                  <c:v>Mastication </c:v>
                </c:pt>
              </c:strCache>
            </c:strRef>
          </c:tx>
          <c:spPr>
            <a:solidFill>
              <a:srgbClr val="7CC362"/>
            </a:solidFill>
            <a:ln>
              <a:noFill/>
            </a:ln>
            <a:effectLst/>
          </c:spPr>
          <c:invertIfNegative val="0"/>
          <c:val>
            <c:numRef>
              <c:f>'Calculator Interface'!$E$156:$E$162</c:f>
              <c:numCache>
                <c:formatCode>General</c:formatCode>
                <c:ptCount val="7"/>
                <c:pt idx="0">
                  <c:v>-26.83</c:v>
                </c:pt>
                <c:pt idx="1">
                  <c:v>-29.96</c:v>
                </c:pt>
                <c:pt idx="2">
                  <c:v>-27.03</c:v>
                </c:pt>
                <c:pt idx="3">
                  <c:v>-27.19</c:v>
                </c:pt>
                <c:pt idx="4">
                  <c:v>-26.79</c:v>
                </c:pt>
                <c:pt idx="5">
                  <c:v>-26.94</c:v>
                </c:pt>
                <c:pt idx="6">
                  <c:v>-27.04</c:v>
                </c:pt>
              </c:numCache>
            </c:numRef>
          </c:val>
          <c:extLst>
            <c:ext xmlns:c16="http://schemas.microsoft.com/office/drawing/2014/chart" uri="{C3380CC4-5D6E-409C-BE32-E72D297353CC}">
              <c16:uniqueId val="{00000001-9963-4EA7-A44E-EDB2C42D0390}"/>
            </c:ext>
          </c:extLst>
        </c:ser>
        <c:dLbls>
          <c:showLegendKey val="0"/>
          <c:showVal val="0"/>
          <c:showCatName val="0"/>
          <c:showSerName val="0"/>
          <c:showPercent val="0"/>
          <c:showBubbleSize val="0"/>
        </c:dLbls>
        <c:gapWidth val="219"/>
        <c:overlap val="-27"/>
        <c:axId val="1899805920"/>
        <c:axId val="1899807840"/>
      </c:barChart>
      <c:catAx>
        <c:axId val="18998059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899807840"/>
        <c:crosses val="autoZero"/>
        <c:auto val="1"/>
        <c:lblAlgn val="ctr"/>
        <c:lblOffset val="100"/>
        <c:noMultiLvlLbl val="0"/>
      </c:catAx>
      <c:valAx>
        <c:axId val="1899807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Biogenic Carbon EPD (</a:t>
                </a:r>
                <a:r>
                  <a:rPr lang="en-US" sz="1100" b="1" i="0" u="none" strike="noStrike" kern="1200" baseline="0">
                    <a:solidFill>
                      <a:sysClr val="windowText" lastClr="000000">
                        <a:lumMod val="65000"/>
                        <a:lumOff val="35000"/>
                      </a:sysClr>
                    </a:solidFill>
                    <a:latin typeface="Arial" panose="020B0604020202020204" pitchFamily="34" charset="0"/>
                    <a:cs typeface="Arial" panose="020B0604020202020204" pitchFamily="34" charset="0"/>
                  </a:rPr>
                  <a:t>Kg CO2e/ft3)</a:t>
                </a:r>
                <a:endParaRPr lang="en-US" sz="1100" b="1">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899805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1">
                <a:latin typeface="Arial" panose="020B0604020202020204" pitchFamily="34" charset="0"/>
                <a:cs typeface="Arial" panose="020B0604020202020204" pitchFamily="34" charset="0"/>
              </a:rPr>
              <a:t>Biogenic EPD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bar"/>
        <c:grouping val="clustered"/>
        <c:varyColors val="0"/>
        <c:ser>
          <c:idx val="0"/>
          <c:order val="0"/>
          <c:tx>
            <c:strRef>
              <c:f>'Calculator Interface'!$AD$125</c:f>
              <c:strCache>
                <c:ptCount val="1"/>
              </c:strCache>
              <c:extLst xmlns:c15="http://schemas.microsoft.com/office/drawing/2012/chart"/>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'Calculator Interface'!$AC$126:$AC$129</c:f>
              <c:strCache>
                <c:ptCount val="4"/>
                <c:pt idx="0">
                  <c:v>Current EPD</c:v>
                </c:pt>
                <c:pt idx="1">
                  <c:v>Mastication </c:v>
                </c:pt>
                <c:pt idx="2">
                  <c:v>Site Composting</c:v>
                </c:pt>
                <c:pt idx="3">
                  <c:v>Pile Burning</c:v>
                </c:pt>
              </c:strCache>
              <c:extLst xmlns:c15="http://schemas.microsoft.com/office/drawing/2012/chart"/>
            </c:strRef>
          </c:cat>
          <c:val>
            <c:numRef>
              <c:f>'Calculator Interface'!$AD$126:$AD$129</c:f>
              <c:extLst xmlns:c15="http://schemas.microsoft.com/office/drawing/2012/chart"/>
            </c:numRef>
          </c:val>
          <c:extLst xmlns:c15="http://schemas.microsoft.com/office/drawing/2012/chart">
            <c:ext xmlns:c16="http://schemas.microsoft.com/office/drawing/2014/chart" uri="{C3380CC4-5D6E-409C-BE32-E72D297353CC}">
              <c16:uniqueId val="{00000000-29E8-4FD8-B006-CDC6243B6399}"/>
            </c:ext>
          </c:extLst>
        </c:ser>
        <c:ser>
          <c:idx val="1"/>
          <c:order val="1"/>
          <c:tx>
            <c:strRef>
              <c:f>'Calculator Interface'!$AE$125</c:f>
              <c:strCache>
                <c:ptCount val="1"/>
                <c:pt idx="0">
                  <c:v>EPD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'Calculator Interface'!$AC$126:$AC$129</c:f>
              <c:strCache>
                <c:ptCount val="4"/>
                <c:pt idx="0">
                  <c:v>Current EPD</c:v>
                </c:pt>
                <c:pt idx="1">
                  <c:v>Mastication </c:v>
                </c:pt>
                <c:pt idx="2">
                  <c:v>Site Composting</c:v>
                </c:pt>
                <c:pt idx="3">
                  <c:v>Pile Burning</c:v>
                </c:pt>
              </c:strCache>
            </c:strRef>
          </c:cat>
          <c:val>
            <c:numRef>
              <c:f>'Calculator Interface'!$AE$126:$AE$129</c:f>
              <c:numCache>
                <c:formatCode>0.00</c:formatCode>
                <c:ptCount val="4"/>
                <c:pt idx="0">
                  <c:v>-27.68</c:v>
                </c:pt>
                <c:pt idx="1">
                  <c:v>-27.397142857142853</c:v>
                </c:pt>
                <c:pt idx="2">
                  <c:v>-18.924285714285713</c:v>
                </c:pt>
                <c:pt idx="3">
                  <c:v>-9.9585714285714282</c:v>
                </c:pt>
              </c:numCache>
            </c:numRef>
          </c:val>
          <c:extLst>
            <c:ext xmlns:c16="http://schemas.microsoft.com/office/drawing/2014/chart" uri="{C3380CC4-5D6E-409C-BE32-E72D297353CC}">
              <c16:uniqueId val="{00000001-29E8-4FD8-B006-CDC6243B6399}"/>
            </c:ext>
          </c:extLst>
        </c:ser>
        <c:dLbls>
          <c:dLblPos val="outEnd"/>
          <c:showLegendKey val="0"/>
          <c:showVal val="1"/>
          <c:showCatName val="0"/>
          <c:showSerName val="0"/>
          <c:showPercent val="0"/>
          <c:showBubbleSize val="0"/>
        </c:dLbls>
        <c:gapWidth val="182"/>
        <c:axId val="1570870304"/>
        <c:axId val="1570870784"/>
        <c:extLst/>
      </c:barChart>
      <c:catAx>
        <c:axId val="1570870304"/>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a:latin typeface="Arial" panose="020B0604020202020204" pitchFamily="34" charset="0"/>
                    <a:cs typeface="Arial" panose="020B0604020202020204" pitchFamily="34" charset="0"/>
                  </a:rPr>
                  <a:t>Slash Management </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570870784"/>
        <c:crosses val="autoZero"/>
        <c:auto val="1"/>
        <c:lblAlgn val="ctr"/>
        <c:lblOffset val="100"/>
        <c:noMultiLvlLbl val="0"/>
      </c:catAx>
      <c:valAx>
        <c:axId val="15708707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a:latin typeface="Arial" panose="020B0604020202020204" pitchFamily="34" charset="0"/>
                    <a:cs typeface="Arial" panose="020B0604020202020204" pitchFamily="34" charset="0"/>
                  </a:rPr>
                  <a:t>Biogenic EPD ( Kg CO2 e/ft3)</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5708703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Arial" panose="020B0604020202020204" pitchFamily="34" charset="0"/>
                <a:cs typeface="Arial" panose="020B0604020202020204" pitchFamily="34" charset="0"/>
              </a:rPr>
              <a:t>Wood Biogenic carbon vs Slash Biogenic Carbon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Comparison!$B$1</c:f>
              <c:strCache>
                <c:ptCount val="1"/>
                <c:pt idx="0">
                  <c:v>Current Biogenic Carbon</c:v>
                </c:pt>
              </c:strCache>
            </c:strRef>
          </c:tx>
          <c:spPr>
            <a:solidFill>
              <a:schemeClr val="tx1"/>
            </a:solidFill>
            <a:ln>
              <a:noFill/>
            </a:ln>
            <a:effectLst/>
          </c:spPr>
          <c:invertIfNegative val="0"/>
          <c:cat>
            <c:strRef>
              <c:f>Comparison!$A$2:$A$4</c:f>
              <c:strCache>
                <c:ptCount val="3"/>
                <c:pt idx="0">
                  <c:v>Structural Columns</c:v>
                </c:pt>
                <c:pt idx="1">
                  <c:v>Flooring</c:v>
                </c:pt>
                <c:pt idx="2">
                  <c:v>Framing</c:v>
                </c:pt>
              </c:strCache>
            </c:strRef>
          </c:cat>
          <c:val>
            <c:numRef>
              <c:f>Comparison!$B$2:$B$4</c:f>
              <c:numCache>
                <c:formatCode>#,##0.00</c:formatCode>
                <c:ptCount val="3"/>
                <c:pt idx="0">
                  <c:v>-272888.2573336527</c:v>
                </c:pt>
                <c:pt idx="1">
                  <c:v>-1300232.2849426982</c:v>
                </c:pt>
                <c:pt idx="2">
                  <c:v>-1616295.5606780241</c:v>
                </c:pt>
              </c:numCache>
            </c:numRef>
          </c:val>
          <c:extLst>
            <c:ext xmlns:c16="http://schemas.microsoft.com/office/drawing/2014/chart" uri="{C3380CC4-5D6E-409C-BE32-E72D297353CC}">
              <c16:uniqueId val="{00000000-B1D1-4DCE-824B-F469EACEEBD4}"/>
            </c:ext>
          </c:extLst>
        </c:ser>
        <c:ser>
          <c:idx val="1"/>
          <c:order val="1"/>
          <c:tx>
            <c:strRef>
              <c:f>Comparison!$C$1</c:f>
              <c:strCache>
                <c:ptCount val="1"/>
                <c:pt idx="0">
                  <c:v>Slash Releasedd Biogenic Carbon _ Site Composting</c:v>
                </c:pt>
              </c:strCache>
            </c:strRef>
          </c:tx>
          <c:spPr>
            <a:solidFill>
              <a:srgbClr val="FFD100"/>
            </a:solidFill>
            <a:ln>
              <a:noFill/>
            </a:ln>
            <a:effectLst/>
          </c:spPr>
          <c:invertIfNegative val="0"/>
          <c:cat>
            <c:strRef>
              <c:f>Comparison!$A$2:$A$4</c:f>
              <c:strCache>
                <c:ptCount val="3"/>
                <c:pt idx="0">
                  <c:v>Structural Columns</c:v>
                </c:pt>
                <c:pt idx="1">
                  <c:v>Flooring</c:v>
                </c:pt>
                <c:pt idx="2">
                  <c:v>Framing</c:v>
                </c:pt>
              </c:strCache>
            </c:strRef>
          </c:cat>
          <c:val>
            <c:numRef>
              <c:f>Comparison!$C$2:$C$4</c:f>
              <c:numCache>
                <c:formatCode>#,##0.00</c:formatCode>
                <c:ptCount val="3"/>
                <c:pt idx="0">
                  <c:v>98351.322115577859</c:v>
                </c:pt>
                <c:pt idx="1">
                  <c:v>460418.41931225453</c:v>
                </c:pt>
                <c:pt idx="2">
                  <c:v>610698.18706010142</c:v>
                </c:pt>
              </c:numCache>
            </c:numRef>
          </c:val>
          <c:extLst>
            <c:ext xmlns:c16="http://schemas.microsoft.com/office/drawing/2014/chart" uri="{C3380CC4-5D6E-409C-BE32-E72D297353CC}">
              <c16:uniqueId val="{00000001-B1D1-4DCE-824B-F469EACEEBD4}"/>
            </c:ext>
          </c:extLst>
        </c:ser>
        <c:ser>
          <c:idx val="2"/>
          <c:order val="2"/>
          <c:tx>
            <c:strRef>
              <c:f>Comparison!$D$1</c:f>
              <c:strCache>
                <c:ptCount val="1"/>
                <c:pt idx="0">
                  <c:v>Slash Releasedd Biogenic Carbon _ Pile Burning</c:v>
                </c:pt>
              </c:strCache>
            </c:strRef>
          </c:tx>
          <c:spPr>
            <a:solidFill>
              <a:srgbClr val="E45620"/>
            </a:solidFill>
            <a:ln>
              <a:noFill/>
            </a:ln>
            <a:effectLst/>
          </c:spPr>
          <c:invertIfNegative val="0"/>
          <c:cat>
            <c:strRef>
              <c:f>Comparison!$A$2:$A$4</c:f>
              <c:strCache>
                <c:ptCount val="3"/>
                <c:pt idx="0">
                  <c:v>Structural Columns</c:v>
                </c:pt>
                <c:pt idx="1">
                  <c:v>Flooring</c:v>
                </c:pt>
                <c:pt idx="2">
                  <c:v>Framing</c:v>
                </c:pt>
              </c:strCache>
            </c:strRef>
          </c:cat>
          <c:val>
            <c:numRef>
              <c:f>Comparison!$D$2:$D$4</c:f>
              <c:numCache>
                <c:formatCode>#,##0.00</c:formatCode>
                <c:ptCount val="3"/>
                <c:pt idx="0">
                  <c:v>181578.89106766254</c:v>
                </c:pt>
                <c:pt idx="1">
                  <c:v>854677.01668472763</c:v>
                </c:pt>
                <c:pt idx="2">
                  <c:v>1100607.2736544255</c:v>
                </c:pt>
              </c:numCache>
            </c:numRef>
          </c:val>
          <c:extLst>
            <c:ext xmlns:c16="http://schemas.microsoft.com/office/drawing/2014/chart" uri="{C3380CC4-5D6E-409C-BE32-E72D297353CC}">
              <c16:uniqueId val="{00000002-B1D1-4DCE-824B-F469EACEEBD4}"/>
            </c:ext>
          </c:extLst>
        </c:ser>
        <c:ser>
          <c:idx val="3"/>
          <c:order val="3"/>
          <c:tx>
            <c:strRef>
              <c:f>Comparison!$E$1</c:f>
              <c:strCache>
                <c:ptCount val="1"/>
                <c:pt idx="0">
                  <c:v>Slash Releasedd Biogenic Carbon _ Mastication</c:v>
                </c:pt>
              </c:strCache>
            </c:strRef>
          </c:tx>
          <c:spPr>
            <a:solidFill>
              <a:srgbClr val="7CC362"/>
            </a:solidFill>
            <a:ln>
              <a:noFill/>
            </a:ln>
            <a:effectLst/>
          </c:spPr>
          <c:invertIfNegative val="0"/>
          <c:cat>
            <c:strRef>
              <c:f>Comparison!$A$2:$A$4</c:f>
              <c:strCache>
                <c:ptCount val="3"/>
                <c:pt idx="0">
                  <c:v>Structural Columns</c:v>
                </c:pt>
                <c:pt idx="1">
                  <c:v>Flooring</c:v>
                </c:pt>
                <c:pt idx="2">
                  <c:v>Framing</c:v>
                </c:pt>
              </c:strCache>
            </c:strRef>
          </c:cat>
          <c:val>
            <c:numRef>
              <c:f>Comparison!$E$2:$E$4</c:f>
              <c:numCache>
                <c:formatCode>#,##0.00</c:formatCode>
                <c:ptCount val="3"/>
                <c:pt idx="0">
                  <c:v>11780.118446774271</c:v>
                </c:pt>
                <c:pt idx="1">
                  <c:v>44497.02794421195</c:v>
                </c:pt>
                <c:pt idx="2">
                  <c:v>56936.641090554171</c:v>
                </c:pt>
              </c:numCache>
            </c:numRef>
          </c:val>
          <c:extLst>
            <c:ext xmlns:c16="http://schemas.microsoft.com/office/drawing/2014/chart" uri="{C3380CC4-5D6E-409C-BE32-E72D297353CC}">
              <c16:uniqueId val="{00000003-B1D1-4DCE-824B-F469EACEEBD4}"/>
            </c:ext>
          </c:extLst>
        </c:ser>
        <c:dLbls>
          <c:showLegendKey val="0"/>
          <c:showVal val="0"/>
          <c:showCatName val="0"/>
          <c:showSerName val="0"/>
          <c:showPercent val="0"/>
          <c:showBubbleSize val="0"/>
        </c:dLbls>
        <c:gapWidth val="219"/>
        <c:overlap val="-27"/>
        <c:axId val="297431599"/>
        <c:axId val="297435439"/>
      </c:barChart>
      <c:catAx>
        <c:axId val="29743159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97435439"/>
        <c:crosses val="autoZero"/>
        <c:auto val="1"/>
        <c:lblAlgn val="ctr"/>
        <c:lblOffset val="100"/>
        <c:noMultiLvlLbl val="0"/>
      </c:catAx>
      <c:valAx>
        <c:axId val="2974354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a:latin typeface="Arial" panose="020B0604020202020204" pitchFamily="34" charset="0"/>
                    <a:cs typeface="Arial" panose="020B0604020202020204" pitchFamily="34" charset="0"/>
                  </a:rPr>
                  <a:t>Biogenic carbon (Kg CO2e)</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974315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latin typeface="Arial" panose="020B0604020202020204" pitchFamily="34" charset="0"/>
                <a:cs typeface="Arial" panose="020B0604020202020204" pitchFamily="34" charset="0"/>
              </a:rPr>
              <a:t>Wood Biogenic Carbon vs Slash Biogenic Carbon</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Comparison!$K$1</c:f>
              <c:strCache>
                <c:ptCount val="1"/>
                <c:pt idx="0">
                  <c:v>Biogenic Carbon _ Current Industry Practice </c:v>
                </c:pt>
              </c:strCache>
            </c:strRef>
          </c:tx>
          <c:spPr>
            <a:solidFill>
              <a:srgbClr val="FFD100"/>
            </a:solidFill>
            <a:ln>
              <a:noFill/>
            </a:ln>
            <a:effectLst/>
          </c:spPr>
          <c:invertIfNegative val="0"/>
          <c:cat>
            <c:strRef>
              <c:f>Comparison!$I$2:$J$4</c:f>
              <c:strCache>
                <c:ptCount val="3"/>
                <c:pt idx="0">
                  <c:v>Structural Columns</c:v>
                </c:pt>
                <c:pt idx="1">
                  <c:v>Flooring</c:v>
                </c:pt>
                <c:pt idx="2">
                  <c:v>Framing</c:v>
                </c:pt>
              </c:strCache>
            </c:strRef>
          </c:cat>
          <c:val>
            <c:numRef>
              <c:f>Comparison!$K$2:$K$4</c:f>
              <c:numCache>
                <c:formatCode>#,##0.00</c:formatCode>
                <c:ptCount val="3"/>
                <c:pt idx="0">
                  <c:v>-272888.2573336527</c:v>
                </c:pt>
                <c:pt idx="1">
                  <c:v>-1300232.2849426982</c:v>
                </c:pt>
                <c:pt idx="2">
                  <c:v>-1616295.5606780241</c:v>
                </c:pt>
              </c:numCache>
            </c:numRef>
          </c:val>
          <c:extLst>
            <c:ext xmlns:c16="http://schemas.microsoft.com/office/drawing/2014/chart" uri="{C3380CC4-5D6E-409C-BE32-E72D297353CC}">
              <c16:uniqueId val="{00000000-3A50-4374-8BDA-C8B57CCB0419}"/>
            </c:ext>
          </c:extLst>
        </c:ser>
        <c:ser>
          <c:idx val="1"/>
          <c:order val="1"/>
          <c:tx>
            <c:strRef>
              <c:f>Comparison!$L$1</c:f>
              <c:strCache>
                <c:ptCount val="1"/>
                <c:pt idx="0">
                  <c:v> Biogenic Carbon _ Site Composting</c:v>
                </c:pt>
              </c:strCache>
            </c:strRef>
          </c:tx>
          <c:spPr>
            <a:solidFill>
              <a:srgbClr val="1C4F78"/>
            </a:solidFill>
            <a:ln>
              <a:noFill/>
            </a:ln>
            <a:effectLst/>
          </c:spPr>
          <c:invertIfNegative val="0"/>
          <c:cat>
            <c:strRef>
              <c:f>Comparison!$I$2:$J$4</c:f>
              <c:strCache>
                <c:ptCount val="3"/>
                <c:pt idx="0">
                  <c:v>Structural Columns</c:v>
                </c:pt>
                <c:pt idx="1">
                  <c:v>Flooring</c:v>
                </c:pt>
                <c:pt idx="2">
                  <c:v>Framing</c:v>
                </c:pt>
              </c:strCache>
            </c:strRef>
          </c:cat>
          <c:val>
            <c:numRef>
              <c:f>Comparison!$L$2:$L$4</c:f>
              <c:numCache>
                <c:formatCode>#,##0.00</c:formatCode>
                <c:ptCount val="3"/>
                <c:pt idx="0">
                  <c:v>-174536.93521807482</c:v>
                </c:pt>
                <c:pt idx="1">
                  <c:v>-839813.86563044367</c:v>
                </c:pt>
                <c:pt idx="2">
                  <c:v>-1005597.3736179227</c:v>
                </c:pt>
              </c:numCache>
            </c:numRef>
          </c:val>
          <c:extLst>
            <c:ext xmlns:c16="http://schemas.microsoft.com/office/drawing/2014/chart" uri="{C3380CC4-5D6E-409C-BE32-E72D297353CC}">
              <c16:uniqueId val="{00000001-3A50-4374-8BDA-C8B57CCB0419}"/>
            </c:ext>
          </c:extLst>
        </c:ser>
        <c:ser>
          <c:idx val="2"/>
          <c:order val="2"/>
          <c:tx>
            <c:strRef>
              <c:f>Comparison!$M$1</c:f>
              <c:strCache>
                <c:ptCount val="1"/>
                <c:pt idx="0">
                  <c:v>Biogenic Carbon _ Pile Burning</c:v>
                </c:pt>
              </c:strCache>
            </c:strRef>
          </c:tx>
          <c:spPr>
            <a:solidFill>
              <a:srgbClr val="E45620"/>
            </a:solidFill>
            <a:ln>
              <a:noFill/>
            </a:ln>
            <a:effectLst/>
          </c:spPr>
          <c:invertIfNegative val="0"/>
          <c:cat>
            <c:strRef>
              <c:f>Comparison!$I$2:$J$4</c:f>
              <c:strCache>
                <c:ptCount val="3"/>
                <c:pt idx="0">
                  <c:v>Structural Columns</c:v>
                </c:pt>
                <c:pt idx="1">
                  <c:v>Flooring</c:v>
                </c:pt>
                <c:pt idx="2">
                  <c:v>Framing</c:v>
                </c:pt>
              </c:strCache>
            </c:strRef>
          </c:cat>
          <c:val>
            <c:numRef>
              <c:f>Comparison!$M$2:$M$4</c:f>
              <c:numCache>
                <c:formatCode>#,##0.00</c:formatCode>
                <c:ptCount val="3"/>
                <c:pt idx="0">
                  <c:v>-91309.36626599016</c:v>
                </c:pt>
                <c:pt idx="1">
                  <c:v>-445555.26825797057</c:v>
                </c:pt>
                <c:pt idx="2">
                  <c:v>-515688.28702359856</c:v>
                </c:pt>
              </c:numCache>
            </c:numRef>
          </c:val>
          <c:extLst>
            <c:ext xmlns:c16="http://schemas.microsoft.com/office/drawing/2014/chart" uri="{C3380CC4-5D6E-409C-BE32-E72D297353CC}">
              <c16:uniqueId val="{00000002-3A50-4374-8BDA-C8B57CCB0419}"/>
            </c:ext>
          </c:extLst>
        </c:ser>
        <c:ser>
          <c:idx val="3"/>
          <c:order val="3"/>
          <c:tx>
            <c:strRef>
              <c:f>Comparison!$N$1</c:f>
              <c:strCache>
                <c:ptCount val="1"/>
                <c:pt idx="0">
                  <c:v>Biogenic Carbon _ Mastication</c:v>
                </c:pt>
              </c:strCache>
            </c:strRef>
          </c:tx>
          <c:spPr>
            <a:solidFill>
              <a:srgbClr val="7CC362"/>
            </a:solidFill>
            <a:ln>
              <a:noFill/>
            </a:ln>
            <a:effectLst/>
          </c:spPr>
          <c:invertIfNegative val="0"/>
          <c:cat>
            <c:strRef>
              <c:f>Comparison!$I$2:$J$4</c:f>
              <c:strCache>
                <c:ptCount val="3"/>
                <c:pt idx="0">
                  <c:v>Structural Columns</c:v>
                </c:pt>
                <c:pt idx="1">
                  <c:v>Flooring</c:v>
                </c:pt>
                <c:pt idx="2">
                  <c:v>Framing</c:v>
                </c:pt>
              </c:strCache>
            </c:strRef>
          </c:cat>
          <c:val>
            <c:numRef>
              <c:f>Comparison!$N$2:$N$4</c:f>
              <c:numCache>
                <c:formatCode>#,##0.00</c:formatCode>
                <c:ptCount val="3"/>
                <c:pt idx="0">
                  <c:v>-261108.13888687844</c:v>
                </c:pt>
                <c:pt idx="1">
                  <c:v>-1255735.2569984864</c:v>
                </c:pt>
                <c:pt idx="2">
                  <c:v>-1559358.9195874699</c:v>
                </c:pt>
              </c:numCache>
            </c:numRef>
          </c:val>
          <c:extLst>
            <c:ext xmlns:c16="http://schemas.microsoft.com/office/drawing/2014/chart" uri="{C3380CC4-5D6E-409C-BE32-E72D297353CC}">
              <c16:uniqueId val="{00000007-3A50-4374-8BDA-C8B57CCB0419}"/>
            </c:ext>
          </c:extLst>
        </c:ser>
        <c:dLbls>
          <c:showLegendKey val="0"/>
          <c:showVal val="0"/>
          <c:showCatName val="0"/>
          <c:showSerName val="0"/>
          <c:showPercent val="0"/>
          <c:showBubbleSize val="0"/>
        </c:dLbls>
        <c:gapWidth val="219"/>
        <c:overlap val="-27"/>
        <c:axId val="1700583696"/>
        <c:axId val="1700573616"/>
      </c:barChart>
      <c:catAx>
        <c:axId val="17005836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00573616"/>
        <c:crosses val="autoZero"/>
        <c:auto val="1"/>
        <c:lblAlgn val="ctr"/>
        <c:lblOffset val="1"/>
        <c:noMultiLvlLbl val="0"/>
      </c:catAx>
      <c:valAx>
        <c:axId val="17005736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005836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Yearly  Decomposition Rate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'Pile Slash Decomposition'!$M$36</c:f>
              <c:strCache>
                <c:ptCount val="1"/>
                <c:pt idx="0">
                  <c:v>Alaska Yellow Cedar</c:v>
                </c:pt>
              </c:strCache>
            </c:strRef>
          </c:tx>
          <c:spPr>
            <a:ln w="28575" cap="rnd">
              <a:solidFill>
                <a:schemeClr val="accent1"/>
              </a:solidFill>
              <a:round/>
            </a:ln>
            <a:effectLst/>
          </c:spPr>
          <c:marker>
            <c:symbol val="none"/>
          </c:marker>
          <c:cat>
            <c:numRef>
              <c:f>'Pile Slash Decomposition'!$Q$35:$Z$35</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Decomposition'!$Q$36:$Z$36</c:f>
              <c:numCache>
                <c:formatCode>#,##0.00_);\(#,##0.00\)</c:formatCode>
                <c:ptCount val="10"/>
                <c:pt idx="0">
                  <c:v>75169.30615116308</c:v>
                </c:pt>
                <c:pt idx="1">
                  <c:v>69737.834153578384</c:v>
                </c:pt>
                <c:pt idx="2">
                  <c:v>64698.821386643234</c:v>
                </c:pt>
                <c:pt idx="3">
                  <c:v>60023.910114592727</c:v>
                </c:pt>
                <c:pt idx="4">
                  <c:v>55686.791632783941</c:v>
                </c:pt>
                <c:pt idx="5">
                  <c:v>51663.058211850665</c:v>
                </c:pt>
                <c:pt idx="6">
                  <c:v>47930.065739857302</c:v>
                </c:pt>
                <c:pt idx="7">
                  <c:v>44466.806289451953</c:v>
                </c:pt>
                <c:pt idx="8">
                  <c:v>41253.789892872577</c:v>
                </c:pt>
                <c:pt idx="9">
                  <c:v>38272.934859479217</c:v>
                </c:pt>
              </c:numCache>
            </c:numRef>
          </c:val>
          <c:smooth val="0"/>
          <c:extLst>
            <c:ext xmlns:c16="http://schemas.microsoft.com/office/drawing/2014/chart" uri="{C3380CC4-5D6E-409C-BE32-E72D297353CC}">
              <c16:uniqueId val="{00000000-067D-4163-99FA-27EBBF50DDFF}"/>
            </c:ext>
          </c:extLst>
        </c:ser>
        <c:ser>
          <c:idx val="1"/>
          <c:order val="1"/>
          <c:tx>
            <c:strRef>
              <c:f>'Pile Slash Decomposition'!$M$37</c:f>
              <c:strCache>
                <c:ptCount val="1"/>
                <c:pt idx="0">
                  <c:v>Douglas Fir</c:v>
                </c:pt>
              </c:strCache>
            </c:strRef>
          </c:tx>
          <c:spPr>
            <a:ln w="28575" cap="rnd">
              <a:solidFill>
                <a:schemeClr val="accent2"/>
              </a:solidFill>
              <a:round/>
            </a:ln>
            <a:effectLst/>
          </c:spPr>
          <c:marker>
            <c:symbol val="none"/>
          </c:marker>
          <c:cat>
            <c:numRef>
              <c:f>'Pile Slash Decomposition'!$Q$35:$Z$35</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Decomposition'!$Q$37:$Z$37</c:f>
              <c:numCache>
                <c:formatCode>#,##0.00_);\(#,##0.00\)</c:formatCode>
                <c:ptCount val="10"/>
                <c:pt idx="0">
                  <c:v>58502.663861145418</c:v>
                </c:pt>
                <c:pt idx="1">
                  <c:v>51628.41965040857</c:v>
                </c:pt>
                <c:pt idx="2">
                  <c:v>45561.920426823228</c:v>
                </c:pt>
                <c:pt idx="3">
                  <c:v>40208.253652477302</c:v>
                </c:pt>
                <c:pt idx="4">
                  <c:v>35483.659306646965</c:v>
                </c:pt>
                <c:pt idx="5">
                  <c:v>31314.219430482997</c:v>
                </c:pt>
                <c:pt idx="6">
                  <c:v>27634.701654255598</c:v>
                </c:pt>
                <c:pt idx="7">
                  <c:v>24387.538613729961</c:v>
                </c:pt>
                <c:pt idx="8">
                  <c:v>21521.927288278908</c:v>
                </c:pt>
                <c:pt idx="9">
                  <c:v>18993.034169557017</c:v>
                </c:pt>
              </c:numCache>
            </c:numRef>
          </c:val>
          <c:smooth val="0"/>
          <c:extLst>
            <c:ext xmlns:c16="http://schemas.microsoft.com/office/drawing/2014/chart" uri="{C3380CC4-5D6E-409C-BE32-E72D297353CC}">
              <c16:uniqueId val="{00000001-067D-4163-99FA-27EBBF50DDFF}"/>
            </c:ext>
          </c:extLst>
        </c:ser>
        <c:ser>
          <c:idx val="2"/>
          <c:order val="2"/>
          <c:tx>
            <c:strRef>
              <c:f>'Pile Slash Decomposition'!$M$38</c:f>
              <c:strCache>
                <c:ptCount val="1"/>
                <c:pt idx="0">
                  <c:v>Hemlock Fir</c:v>
                </c:pt>
              </c:strCache>
            </c:strRef>
          </c:tx>
          <c:spPr>
            <a:ln w="28575" cap="rnd">
              <a:solidFill>
                <a:schemeClr val="accent3"/>
              </a:solidFill>
              <a:round/>
            </a:ln>
            <a:effectLst/>
          </c:spPr>
          <c:marker>
            <c:symbol val="none"/>
          </c:marker>
          <c:cat>
            <c:numRef>
              <c:f>'Pile Slash Decomposition'!$Q$35:$Z$35</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Decomposition'!$Q$38:$Z$38</c:f>
              <c:numCache>
                <c:formatCode>#,##0.00_);\(#,##0.00\)</c:formatCode>
                <c:ptCount val="10"/>
                <c:pt idx="0">
                  <c:v>57058.22794383685</c:v>
                </c:pt>
                <c:pt idx="1">
                  <c:v>49110.471911939501</c:v>
                </c:pt>
                <c:pt idx="2">
                  <c:v>42269.77490060508</c:v>
                </c:pt>
                <c:pt idx="3">
                  <c:v>36381.9324186425</c:v>
                </c:pt>
                <c:pt idx="4">
                  <c:v>31314.219430482994</c:v>
                </c:pt>
                <c:pt idx="5">
                  <c:v>26952.398439341243</c:v>
                </c:pt>
                <c:pt idx="6">
                  <c:v>23198.144320527284</c:v>
                </c:pt>
                <c:pt idx="7">
                  <c:v>19966.827854937488</c:v>
                </c:pt>
                <c:pt idx="8">
                  <c:v>17185.607998650728</c:v>
                </c:pt>
                <c:pt idx="9">
                  <c:v>14791.789884152951</c:v>
                </c:pt>
              </c:numCache>
            </c:numRef>
          </c:val>
          <c:smooth val="0"/>
          <c:extLst>
            <c:ext xmlns:c16="http://schemas.microsoft.com/office/drawing/2014/chart" uri="{C3380CC4-5D6E-409C-BE32-E72D297353CC}">
              <c16:uniqueId val="{00000002-067D-4163-99FA-27EBBF50DDFF}"/>
            </c:ext>
          </c:extLst>
        </c:ser>
        <c:ser>
          <c:idx val="3"/>
          <c:order val="3"/>
          <c:tx>
            <c:strRef>
              <c:f>'Pile Slash Decomposition'!$M$39</c:f>
              <c:strCache>
                <c:ptCount val="1"/>
                <c:pt idx="0">
                  <c:v>Ponderosa Pine</c:v>
                </c:pt>
              </c:strCache>
            </c:strRef>
          </c:tx>
          <c:spPr>
            <a:ln w="28575" cap="rnd">
              <a:solidFill>
                <a:schemeClr val="accent4"/>
              </a:solidFill>
              <a:round/>
            </a:ln>
            <a:effectLst/>
          </c:spPr>
          <c:marker>
            <c:symbol val="none"/>
          </c:marker>
          <c:cat>
            <c:numRef>
              <c:f>'Pile Slash Decomposition'!$Q$35:$Z$35</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Decomposition'!$Q$39:$Z$39</c:f>
              <c:numCache>
                <c:formatCode>#,##0.00_);\(#,##0.00\)</c:formatCode>
                <c:ptCount val="10"/>
                <c:pt idx="0">
                  <c:v>44378.621734095323</c:v>
                </c:pt>
                <c:pt idx="1">
                  <c:v>38197.033709286276</c:v>
                </c:pt>
                <c:pt idx="2">
                  <c:v>32876.49158935951</c:v>
                </c:pt>
                <c:pt idx="3">
                  <c:v>28297.058547833054</c:v>
                </c:pt>
                <c:pt idx="4">
                  <c:v>24355.50400148677</c:v>
                </c:pt>
                <c:pt idx="5">
                  <c:v>20962.976563932076</c:v>
                </c:pt>
                <c:pt idx="6">
                  <c:v>18043.001138187887</c:v>
                </c:pt>
                <c:pt idx="7">
                  <c:v>15529.754998284712</c:v>
                </c:pt>
                <c:pt idx="8">
                  <c:v>13366.583998950564</c:v>
                </c:pt>
                <c:pt idx="9">
                  <c:v>11504.725465452295</c:v>
                </c:pt>
              </c:numCache>
            </c:numRef>
          </c:val>
          <c:smooth val="0"/>
          <c:extLst>
            <c:ext xmlns:c16="http://schemas.microsoft.com/office/drawing/2014/chart" uri="{C3380CC4-5D6E-409C-BE32-E72D297353CC}">
              <c16:uniqueId val="{00000003-067D-4163-99FA-27EBBF50DDFF}"/>
            </c:ext>
          </c:extLst>
        </c:ser>
        <c:ser>
          <c:idx val="4"/>
          <c:order val="4"/>
          <c:tx>
            <c:strRef>
              <c:f>'Pile Slash Decomposition'!$M$40</c:f>
              <c:strCache>
                <c:ptCount val="1"/>
                <c:pt idx="0">
                  <c:v>Southern Yellow Pine</c:v>
                </c:pt>
              </c:strCache>
            </c:strRef>
          </c:tx>
          <c:spPr>
            <a:ln w="28575" cap="rnd">
              <a:solidFill>
                <a:schemeClr val="accent5"/>
              </a:solidFill>
              <a:round/>
            </a:ln>
            <a:effectLst/>
          </c:spPr>
          <c:marker>
            <c:symbol val="none"/>
          </c:marker>
          <c:cat>
            <c:numRef>
              <c:f>'Pile Slash Decomposition'!$Q$35:$Z$35</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Decomposition'!$Q$40:$Z$40</c:f>
              <c:numCache>
                <c:formatCode>#,##0.00_);\(#,##0.00\)</c:formatCode>
                <c:ptCount val="10"/>
                <c:pt idx="0">
                  <c:v>60306.072588940537</c:v>
                </c:pt>
                <c:pt idx="1">
                  <c:v>49374.436225918733</c:v>
                </c:pt>
                <c:pt idx="2">
                  <c:v>40424.369354047223</c:v>
                </c:pt>
                <c:pt idx="3">
                  <c:v>33096.67436394158</c:v>
                </c:pt>
                <c:pt idx="4">
                  <c:v>27097.265126366627</c:v>
                </c:pt>
                <c:pt idx="5">
                  <c:v>22185.364283263876</c:v>
                </c:pt>
                <c:pt idx="6">
                  <c:v>18163.840006945997</c:v>
                </c:pt>
                <c:pt idx="7">
                  <c:v>14871.294407674872</c:v>
                </c:pt>
                <c:pt idx="8">
                  <c:v>12175.586069640029</c:v>
                </c:pt>
                <c:pt idx="9">
                  <c:v>9968.5267519621666</c:v>
                </c:pt>
              </c:numCache>
            </c:numRef>
          </c:val>
          <c:smooth val="0"/>
          <c:extLst>
            <c:ext xmlns:c16="http://schemas.microsoft.com/office/drawing/2014/chart" uri="{C3380CC4-5D6E-409C-BE32-E72D297353CC}">
              <c16:uniqueId val="{00000004-067D-4163-99FA-27EBBF50DDFF}"/>
            </c:ext>
          </c:extLst>
        </c:ser>
        <c:ser>
          <c:idx val="5"/>
          <c:order val="5"/>
          <c:tx>
            <c:strRef>
              <c:f>'Pile Slash Decomposition'!$M$41</c:f>
              <c:strCache>
                <c:ptCount val="1"/>
                <c:pt idx="0">
                  <c:v>Spruce Pine Fir</c:v>
                </c:pt>
              </c:strCache>
            </c:strRef>
          </c:tx>
          <c:spPr>
            <a:ln w="28575" cap="rnd">
              <a:solidFill>
                <a:schemeClr val="accent6"/>
              </a:solidFill>
              <a:round/>
            </a:ln>
            <a:effectLst/>
          </c:spPr>
          <c:marker>
            <c:symbol val="none"/>
          </c:marker>
          <c:cat>
            <c:numRef>
              <c:f>'Pile Slash Decomposition'!$Q$35:$Z$35</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Decomposition'!$Q$41:$Z$41</c:f>
              <c:numCache>
                <c:formatCode>#,##0.00_);\(#,##0.00\)</c:formatCode>
                <c:ptCount val="10"/>
                <c:pt idx="0">
                  <c:v>57058.22794383685</c:v>
                </c:pt>
                <c:pt idx="1">
                  <c:v>49110.471911939501</c:v>
                </c:pt>
                <c:pt idx="2">
                  <c:v>42269.77490060508</c:v>
                </c:pt>
                <c:pt idx="3">
                  <c:v>36381.9324186425</c:v>
                </c:pt>
                <c:pt idx="4">
                  <c:v>31314.219430482994</c:v>
                </c:pt>
                <c:pt idx="5">
                  <c:v>26952.398439341243</c:v>
                </c:pt>
                <c:pt idx="6">
                  <c:v>23198.144320527284</c:v>
                </c:pt>
                <c:pt idx="7">
                  <c:v>19966.827854937488</c:v>
                </c:pt>
                <c:pt idx="8">
                  <c:v>17185.607998650728</c:v>
                </c:pt>
                <c:pt idx="9">
                  <c:v>14791.789884152951</c:v>
                </c:pt>
              </c:numCache>
            </c:numRef>
          </c:val>
          <c:smooth val="0"/>
          <c:extLst>
            <c:ext xmlns:c16="http://schemas.microsoft.com/office/drawing/2014/chart" uri="{C3380CC4-5D6E-409C-BE32-E72D297353CC}">
              <c16:uniqueId val="{00000005-067D-4163-99FA-27EBBF50DDFF}"/>
            </c:ext>
          </c:extLst>
        </c:ser>
        <c:ser>
          <c:idx val="6"/>
          <c:order val="6"/>
          <c:tx>
            <c:strRef>
              <c:f>'Pile Slash Decomposition'!$M$42</c:f>
              <c:strCache>
                <c:ptCount val="1"/>
                <c:pt idx="0">
                  <c:v>Western Red Cedar</c:v>
                </c:pt>
              </c:strCache>
            </c:strRef>
          </c:tx>
          <c:spPr>
            <a:ln w="28575" cap="rnd">
              <a:solidFill>
                <a:schemeClr val="accent1">
                  <a:lumMod val="60000"/>
                </a:schemeClr>
              </a:solidFill>
              <a:round/>
            </a:ln>
            <a:effectLst/>
          </c:spPr>
          <c:marker>
            <c:symbol val="none"/>
          </c:marker>
          <c:cat>
            <c:numRef>
              <c:f>'Pile Slash Decomposition'!$Q$35:$Z$35</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Decomposition'!$Q$42:$Z$42</c:f>
              <c:numCache>
                <c:formatCode>#,##0.00_);\(#,##0.00\)</c:formatCode>
                <c:ptCount val="10"/>
                <c:pt idx="0">
                  <c:v>75169.30615116308</c:v>
                </c:pt>
                <c:pt idx="1">
                  <c:v>69737.834153578384</c:v>
                </c:pt>
                <c:pt idx="2">
                  <c:v>64698.821386643234</c:v>
                </c:pt>
                <c:pt idx="3">
                  <c:v>60023.910114592727</c:v>
                </c:pt>
                <c:pt idx="4">
                  <c:v>55686.791632783941</c:v>
                </c:pt>
                <c:pt idx="5">
                  <c:v>51663.058211850665</c:v>
                </c:pt>
                <c:pt idx="6">
                  <c:v>47930.065739857302</c:v>
                </c:pt>
                <c:pt idx="7">
                  <c:v>44466.806289451953</c:v>
                </c:pt>
                <c:pt idx="8">
                  <c:v>41253.789892872577</c:v>
                </c:pt>
                <c:pt idx="9">
                  <c:v>38272.934859479217</c:v>
                </c:pt>
              </c:numCache>
            </c:numRef>
          </c:val>
          <c:smooth val="0"/>
          <c:extLst>
            <c:ext xmlns:c16="http://schemas.microsoft.com/office/drawing/2014/chart" uri="{C3380CC4-5D6E-409C-BE32-E72D297353CC}">
              <c16:uniqueId val="{00000006-067D-4163-99FA-27EBBF50DDFF}"/>
            </c:ext>
          </c:extLst>
        </c:ser>
        <c:dLbls>
          <c:showLegendKey val="0"/>
          <c:showVal val="0"/>
          <c:showCatName val="0"/>
          <c:showSerName val="0"/>
          <c:showPercent val="0"/>
          <c:showBubbleSize val="0"/>
        </c:dLbls>
        <c:smooth val="0"/>
        <c:axId val="1210975328"/>
        <c:axId val="1210977248"/>
      </c:lineChart>
      <c:catAx>
        <c:axId val="121097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977248"/>
        <c:crosses val="autoZero"/>
        <c:auto val="1"/>
        <c:lblAlgn val="ctr"/>
        <c:lblOffset val="100"/>
        <c:noMultiLvlLbl val="0"/>
      </c:catAx>
      <c:valAx>
        <c:axId val="1210977248"/>
        <c:scaling>
          <c:orientation val="minMax"/>
        </c:scaling>
        <c:delete val="0"/>
        <c:axPos val="l"/>
        <c:majorGridlines>
          <c:spPr>
            <a:ln w="9525" cap="flat" cmpd="sng" algn="ctr">
              <a:solidFill>
                <a:schemeClr val="tx1">
                  <a:lumMod val="15000"/>
                  <a:lumOff val="85000"/>
                </a:schemeClr>
              </a:solidFill>
              <a:round/>
            </a:ln>
            <a:effectLst/>
          </c:spPr>
        </c:majorGridlines>
        <c:numFmt formatCode="#,##0.00_);\(#,##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975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Yearly  CO2 Release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'Pile Slash Decomposition'!$AP$36</c:f>
              <c:strCache>
                <c:ptCount val="1"/>
                <c:pt idx="0">
                  <c:v>Alaska Yellow Cedar</c:v>
                </c:pt>
              </c:strCache>
            </c:strRef>
          </c:tx>
          <c:spPr>
            <a:ln w="28575" cap="rnd">
              <a:solidFill>
                <a:schemeClr val="accent1"/>
              </a:solidFill>
              <a:round/>
            </a:ln>
            <a:effectLst/>
          </c:spPr>
          <c:marker>
            <c:symbol val="none"/>
          </c:marker>
          <c:cat>
            <c:numRef>
              <c:f>'Pile Slash Decomposition'!$AQ$35:$AZ$35</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Decomposition'!$AQ$36:$AZ$36</c:f>
              <c:numCache>
                <c:formatCode>#,##0.00_);\(#,##0.00\)</c:formatCode>
                <c:ptCount val="10"/>
                <c:pt idx="0">
                  <c:v>1100.1567294392346</c:v>
                </c:pt>
                <c:pt idx="1">
                  <c:v>1020.6632396777705</c:v>
                </c:pt>
                <c:pt idx="2">
                  <c:v>946.91367234605275</c:v>
                </c:pt>
                <c:pt idx="3">
                  <c:v>878.49299163450075</c:v>
                </c:pt>
                <c:pt idx="4">
                  <c:v>815.0161507741916</c:v>
                </c:pt>
                <c:pt idx="5">
                  <c:v>756.1259251333247</c:v>
                </c:pt>
                <c:pt idx="6">
                  <c:v>701.490901886595</c:v>
                </c:pt>
                <c:pt idx="7">
                  <c:v>650.80361494402734</c:v>
                </c:pt>
                <c:pt idx="8">
                  <c:v>603.77881464339896</c:v>
                </c:pt>
                <c:pt idx="9">
                  <c:v>560.151862468589</c:v>
                </c:pt>
              </c:numCache>
            </c:numRef>
          </c:val>
          <c:smooth val="0"/>
          <c:extLst>
            <c:ext xmlns:c16="http://schemas.microsoft.com/office/drawing/2014/chart" uri="{C3380CC4-5D6E-409C-BE32-E72D297353CC}">
              <c16:uniqueId val="{00000000-0718-4150-A930-92A15222A501}"/>
            </c:ext>
          </c:extLst>
        </c:ser>
        <c:ser>
          <c:idx val="1"/>
          <c:order val="1"/>
          <c:tx>
            <c:strRef>
              <c:f>'Pile Slash Decomposition'!$AP$37</c:f>
              <c:strCache>
                <c:ptCount val="1"/>
                <c:pt idx="0">
                  <c:v>Douglas Fir</c:v>
                </c:pt>
              </c:strCache>
            </c:strRef>
          </c:tx>
          <c:spPr>
            <a:ln w="28575" cap="rnd">
              <a:solidFill>
                <a:schemeClr val="accent2"/>
              </a:solidFill>
              <a:round/>
            </a:ln>
            <a:effectLst/>
          </c:spPr>
          <c:marker>
            <c:symbol val="none"/>
          </c:marker>
          <c:cat>
            <c:numRef>
              <c:f>'Pile Slash Decomposition'!$AQ$35:$AZ$35</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Decomposition'!$AQ$37:$AZ$37</c:f>
              <c:numCache>
                <c:formatCode>#,##0.00_);\(#,##0.00\)</c:formatCode>
                <c:ptCount val="10"/>
                <c:pt idx="0">
                  <c:v>4034.2926326338934</c:v>
                </c:pt>
                <c:pt idx="1">
                  <c:v>3560.250752419272</c:v>
                </c:pt>
                <c:pt idx="2">
                  <c:v>3141.9102614344756</c:v>
                </c:pt>
                <c:pt idx="3">
                  <c:v>2772.7260739146859</c:v>
                </c:pt>
                <c:pt idx="4">
                  <c:v>2446.9221719452535</c:v>
                </c:pt>
                <c:pt idx="5">
                  <c:v>2159.4012376072587</c:v>
                </c:pt>
                <c:pt idx="6">
                  <c:v>1905.664903625747</c:v>
                </c:pt>
                <c:pt idx="7">
                  <c:v>1681.7433748138924</c:v>
                </c:pt>
                <c:pt idx="8">
                  <c:v>1484.133319215425</c:v>
                </c:pt>
                <c:pt idx="9">
                  <c:v>1309.7430572302071</c:v>
                </c:pt>
              </c:numCache>
            </c:numRef>
          </c:val>
          <c:smooth val="0"/>
          <c:extLst>
            <c:ext xmlns:c16="http://schemas.microsoft.com/office/drawing/2014/chart" uri="{C3380CC4-5D6E-409C-BE32-E72D297353CC}">
              <c16:uniqueId val="{00000001-0718-4150-A930-92A15222A501}"/>
            </c:ext>
          </c:extLst>
        </c:ser>
        <c:ser>
          <c:idx val="2"/>
          <c:order val="2"/>
          <c:tx>
            <c:strRef>
              <c:f>'Pile Slash Decomposition'!$AP$38</c:f>
              <c:strCache>
                <c:ptCount val="1"/>
                <c:pt idx="0">
                  <c:v>Hemlock Fir</c:v>
                </c:pt>
              </c:strCache>
            </c:strRef>
          </c:tx>
          <c:spPr>
            <a:ln w="28575" cap="rnd">
              <a:solidFill>
                <a:schemeClr val="accent3"/>
              </a:solidFill>
              <a:round/>
            </a:ln>
            <a:effectLst/>
          </c:spPr>
          <c:marker>
            <c:symbol val="none"/>
          </c:marker>
          <c:cat>
            <c:numRef>
              <c:f>'Pile Slash Decomposition'!$AQ$35:$AZ$35</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Decomposition'!$AQ$38:$AZ$38</c:f>
              <c:numCache>
                <c:formatCode>#,##0.00_);\(#,##0.00\)</c:formatCode>
                <c:ptCount val="10"/>
                <c:pt idx="0">
                  <c:v>1855.4168532370486</c:v>
                </c:pt>
                <c:pt idx="1">
                  <c:v>1596.9720851746092</c:v>
                </c:pt>
                <c:pt idx="2">
                  <c:v>1374.5266118379443</c:v>
                </c:pt>
                <c:pt idx="3">
                  <c:v>1183.0660186174257</c:v>
                </c:pt>
                <c:pt idx="4">
                  <c:v>1018.2743588614554</c:v>
                </c:pt>
                <c:pt idx="5">
                  <c:v>876.43686286116611</c:v>
                </c:pt>
                <c:pt idx="6">
                  <c:v>754.35619869756056</c:v>
                </c:pt>
                <c:pt idx="7">
                  <c:v>649.28039728467536</c:v>
                </c:pt>
                <c:pt idx="8">
                  <c:v>558.84081687934975</c:v>
                </c:pt>
                <c:pt idx="9">
                  <c:v>480.99874863995342</c:v>
                </c:pt>
              </c:numCache>
            </c:numRef>
          </c:val>
          <c:smooth val="0"/>
          <c:extLst>
            <c:ext xmlns:c16="http://schemas.microsoft.com/office/drawing/2014/chart" uri="{C3380CC4-5D6E-409C-BE32-E72D297353CC}">
              <c16:uniqueId val="{00000002-0718-4150-A930-92A15222A501}"/>
            </c:ext>
          </c:extLst>
        </c:ser>
        <c:ser>
          <c:idx val="3"/>
          <c:order val="3"/>
          <c:tx>
            <c:strRef>
              <c:f>'Pile Slash Decomposition'!$AP$39</c:f>
              <c:strCache>
                <c:ptCount val="1"/>
                <c:pt idx="0">
                  <c:v>Ponderosa Pine</c:v>
                </c:pt>
              </c:strCache>
            </c:strRef>
          </c:tx>
          <c:spPr>
            <a:ln w="28575" cap="rnd">
              <a:solidFill>
                <a:schemeClr val="accent4"/>
              </a:solidFill>
              <a:round/>
            </a:ln>
            <a:effectLst/>
          </c:spPr>
          <c:marker>
            <c:symbol val="none"/>
          </c:marker>
          <c:cat>
            <c:numRef>
              <c:f>'Pile Slash Decomposition'!$AQ$35:$AZ$35</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Decomposition'!$AQ$39:$AZ$39</c:f>
              <c:numCache>
                <c:formatCode>#,##0.00_);\(#,##0.00\)</c:formatCode>
                <c:ptCount val="10"/>
                <c:pt idx="0">
                  <c:v>539.42113527081824</c:v>
                </c:pt>
                <c:pt idx="1">
                  <c:v>464.2840737798532</c:v>
                </c:pt>
                <c:pt idx="2">
                  <c:v>399.61300562943973</c:v>
                </c:pt>
                <c:pt idx="3">
                  <c:v>343.95010142845047</c:v>
                </c:pt>
                <c:pt idx="4">
                  <c:v>296.040595791675</c:v>
                </c:pt>
                <c:pt idx="5">
                  <c:v>254.80450214352089</c:v>
                </c:pt>
                <c:pt idx="6">
                  <c:v>219.31226742394426</c:v>
                </c:pt>
                <c:pt idx="7">
                  <c:v>188.76381789965399</c:v>
                </c:pt>
                <c:pt idx="8">
                  <c:v>162.47052372667923</c:v>
                </c:pt>
                <c:pt idx="9">
                  <c:v>139.83967570550973</c:v>
                </c:pt>
              </c:numCache>
            </c:numRef>
          </c:val>
          <c:smooth val="0"/>
          <c:extLst>
            <c:ext xmlns:c16="http://schemas.microsoft.com/office/drawing/2014/chart" uri="{C3380CC4-5D6E-409C-BE32-E72D297353CC}">
              <c16:uniqueId val="{00000003-0718-4150-A930-92A15222A501}"/>
            </c:ext>
          </c:extLst>
        </c:ser>
        <c:ser>
          <c:idx val="4"/>
          <c:order val="4"/>
          <c:tx>
            <c:strRef>
              <c:f>'Pile Slash Decomposition'!$AP$40</c:f>
              <c:strCache>
                <c:ptCount val="1"/>
                <c:pt idx="0">
                  <c:v>Southern Yellow Pine</c:v>
                </c:pt>
              </c:strCache>
            </c:strRef>
          </c:tx>
          <c:spPr>
            <a:ln w="28575" cap="rnd">
              <a:solidFill>
                <a:schemeClr val="accent5"/>
              </a:solidFill>
              <a:round/>
            </a:ln>
            <a:effectLst/>
          </c:spPr>
          <c:marker>
            <c:symbol val="none"/>
          </c:marker>
          <c:cat>
            <c:numRef>
              <c:f>'Pile Slash Decomposition'!$AQ$35:$AZ$35</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Decomposition'!$AQ$40:$AZ$40</c:f>
              <c:numCache>
                <c:formatCode>#,##0.00_);\(#,##0.00\)</c:formatCode>
                <c:ptCount val="10"/>
                <c:pt idx="0">
                  <c:v>634.38867337286365</c:v>
                </c:pt>
                <c:pt idx="1">
                  <c:v>519.39351629470593</c:v>
                </c:pt>
                <c:pt idx="2">
                  <c:v>425.24344473978647</c:v>
                </c:pt>
                <c:pt idx="3">
                  <c:v>348.15988575327981</c:v>
                </c:pt>
                <c:pt idx="4">
                  <c:v>285.04920545432719</c:v>
                </c:pt>
                <c:pt idx="5">
                  <c:v>233.37855064590201</c:v>
                </c:pt>
                <c:pt idx="6">
                  <c:v>191.07419652256687</c:v>
                </c:pt>
                <c:pt idx="7">
                  <c:v>156.43832081269153</c:v>
                </c:pt>
                <c:pt idx="8">
                  <c:v>128.08086420922987</c:v>
                </c:pt>
                <c:pt idx="9">
                  <c:v>104.8637424089015</c:v>
                </c:pt>
              </c:numCache>
            </c:numRef>
          </c:val>
          <c:smooth val="0"/>
          <c:extLst>
            <c:ext xmlns:c16="http://schemas.microsoft.com/office/drawing/2014/chart" uri="{C3380CC4-5D6E-409C-BE32-E72D297353CC}">
              <c16:uniqueId val="{00000004-0718-4150-A930-92A15222A501}"/>
            </c:ext>
          </c:extLst>
        </c:ser>
        <c:ser>
          <c:idx val="5"/>
          <c:order val="5"/>
          <c:tx>
            <c:strRef>
              <c:f>'Pile Slash Decomposition'!$AP$41</c:f>
              <c:strCache>
                <c:ptCount val="1"/>
                <c:pt idx="0">
                  <c:v>Spruce Pine Fir</c:v>
                </c:pt>
              </c:strCache>
            </c:strRef>
          </c:tx>
          <c:spPr>
            <a:ln w="28575" cap="rnd">
              <a:solidFill>
                <a:schemeClr val="accent6"/>
              </a:solidFill>
              <a:round/>
            </a:ln>
            <a:effectLst/>
          </c:spPr>
          <c:marker>
            <c:symbol val="none"/>
          </c:marker>
          <c:cat>
            <c:numRef>
              <c:f>'Pile Slash Decomposition'!$AQ$35:$AZ$35</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Decomposition'!$AQ$41:$AZ$41</c:f>
              <c:numCache>
                <c:formatCode>#,##0.00_);\(#,##0.00\)</c:formatCode>
                <c:ptCount val="10"/>
                <c:pt idx="0">
                  <c:v>404.89430466567154</c:v>
                </c:pt>
                <c:pt idx="1">
                  <c:v>348.49575763482113</c:v>
                </c:pt>
                <c:pt idx="2">
                  <c:v>299.95307834658456</c:v>
                </c:pt>
                <c:pt idx="3">
                  <c:v>258.17200708615513</c:v>
                </c:pt>
                <c:pt idx="4">
                  <c:v>222.21070578872053</c:v>
                </c:pt>
                <c:pt idx="5">
                  <c:v>191.25852691939346</c:v>
                </c:pt>
                <c:pt idx="6">
                  <c:v>164.61773967882868</c:v>
                </c:pt>
                <c:pt idx="7">
                  <c:v>141.6878016026314</c:v>
                </c:pt>
                <c:pt idx="8">
                  <c:v>121.95182100151575</c:v>
                </c:pt>
                <c:pt idx="9">
                  <c:v>104.96490507556594</c:v>
                </c:pt>
              </c:numCache>
            </c:numRef>
          </c:val>
          <c:smooth val="0"/>
          <c:extLst>
            <c:ext xmlns:c16="http://schemas.microsoft.com/office/drawing/2014/chart" uri="{C3380CC4-5D6E-409C-BE32-E72D297353CC}">
              <c16:uniqueId val="{00000005-0718-4150-A930-92A15222A501}"/>
            </c:ext>
          </c:extLst>
        </c:ser>
        <c:ser>
          <c:idx val="6"/>
          <c:order val="6"/>
          <c:tx>
            <c:strRef>
              <c:f>'Pile Slash Decomposition'!$AP$42</c:f>
              <c:strCache>
                <c:ptCount val="1"/>
                <c:pt idx="0">
                  <c:v>Western Red Cedar</c:v>
                </c:pt>
              </c:strCache>
            </c:strRef>
          </c:tx>
          <c:spPr>
            <a:ln w="28575" cap="rnd">
              <a:solidFill>
                <a:schemeClr val="accent1">
                  <a:lumMod val="60000"/>
                </a:schemeClr>
              </a:solidFill>
              <a:round/>
            </a:ln>
            <a:effectLst/>
          </c:spPr>
          <c:marker>
            <c:symbol val="none"/>
          </c:marker>
          <c:cat>
            <c:numRef>
              <c:f>'Pile Slash Decomposition'!$AQ$35:$AZ$35</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Decomposition'!$AQ$42:$AZ$42</c:f>
              <c:numCache>
                <c:formatCode>#,##0.00_);\(#,##0.00\)</c:formatCode>
                <c:ptCount val="10"/>
                <c:pt idx="0">
                  <c:v>58.055794518227792</c:v>
                </c:pt>
                <c:pt idx="1">
                  <c:v>53.860885207914563</c:v>
                </c:pt>
                <c:pt idx="2">
                  <c:v>49.969085419532782</c:v>
                </c:pt>
                <c:pt idx="3">
                  <c:v>46.358493515766639</c:v>
                </c:pt>
                <c:pt idx="4">
                  <c:v>43.008790395256931</c:v>
                </c:pt>
                <c:pt idx="5">
                  <c:v>39.901125144069582</c:v>
                </c:pt>
                <c:pt idx="6">
                  <c:v>37.018008949591092</c:v>
                </c:pt>
                <c:pt idx="7">
                  <c:v>34.343216679835052</c:v>
                </c:pt>
                <c:pt idx="8">
                  <c:v>31.861695574287179</c:v>
                </c:pt>
                <c:pt idx="9">
                  <c:v>29.55948053242826</c:v>
                </c:pt>
              </c:numCache>
            </c:numRef>
          </c:val>
          <c:smooth val="0"/>
          <c:extLst>
            <c:ext xmlns:c16="http://schemas.microsoft.com/office/drawing/2014/chart" uri="{C3380CC4-5D6E-409C-BE32-E72D297353CC}">
              <c16:uniqueId val="{00000006-0718-4150-A930-92A15222A501}"/>
            </c:ext>
          </c:extLst>
        </c:ser>
        <c:dLbls>
          <c:showLegendKey val="0"/>
          <c:showVal val="0"/>
          <c:showCatName val="0"/>
          <c:showSerName val="0"/>
          <c:showPercent val="0"/>
          <c:showBubbleSize val="0"/>
        </c:dLbls>
        <c:smooth val="0"/>
        <c:axId val="982246528"/>
        <c:axId val="982248928"/>
      </c:lineChart>
      <c:catAx>
        <c:axId val="98224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248928"/>
        <c:crosses val="autoZero"/>
        <c:auto val="1"/>
        <c:lblAlgn val="ctr"/>
        <c:lblOffset val="100"/>
        <c:noMultiLvlLbl val="0"/>
      </c:catAx>
      <c:valAx>
        <c:axId val="982248928"/>
        <c:scaling>
          <c:orientation val="minMax"/>
        </c:scaling>
        <c:delete val="0"/>
        <c:axPos val="l"/>
        <c:majorGridlines>
          <c:spPr>
            <a:ln w="9525" cap="flat" cmpd="sng" algn="ctr">
              <a:solidFill>
                <a:schemeClr val="tx1">
                  <a:lumMod val="15000"/>
                  <a:lumOff val="85000"/>
                </a:schemeClr>
              </a:solidFill>
              <a:round/>
            </a:ln>
            <a:effectLst/>
          </c:spPr>
        </c:majorGridlines>
        <c:numFmt formatCode="#,##0.00_);\(#,##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246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Average CO2 Release Over a Decade Through Decomposition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'Pile Slash Decomposition'!$BL$47</c:f>
              <c:strCache>
                <c:ptCount val="1"/>
                <c:pt idx="0">
                  <c:v>Alaska Yellow Cedar</c:v>
                </c:pt>
              </c:strCache>
            </c:strRef>
          </c:tx>
          <c:spPr>
            <a:ln w="28575" cap="rnd">
              <a:solidFill>
                <a:schemeClr val="accent1"/>
              </a:solidFill>
              <a:round/>
            </a:ln>
            <a:effectLst/>
          </c:spPr>
          <c:marker>
            <c:symbol val="none"/>
          </c:marker>
          <c:cat>
            <c:numRef>
              <c:f>'Pile Slash Decomposition'!$BM$46:$BV$46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Decomposition'!$BM$47:$BV$47</c:f>
              <c:numCache>
                <c:formatCode>#,##0.00_);\(#,##0.00\)</c:formatCode>
                <c:ptCount val="10"/>
                <c:pt idx="0">
                  <c:v>1464.9513839277215</c:v>
                </c:pt>
                <c:pt idx="1">
                  <c:v>2825.4769914140352</c:v>
                </c:pt>
                <c:pt idx="2">
                  <c:v>4089.2183932614153</c:v>
                </c:pt>
                <c:pt idx="3">
                  <c:v>5263.2650070071641</c:v>
                </c:pt>
                <c:pt idx="4">
                  <c:v>6354.1939935933788</c:v>
                </c:pt>
                <c:pt idx="5">
                  <c:v>7368.1072712426258</c:v>
                </c:pt>
                <c:pt idx="6">
                  <c:v>8310.6658548400046</c:v>
                </c:pt>
                <c:pt idx="7">
                  <c:v>9187.1217140711651</c:v>
                </c:pt>
                <c:pt idx="8">
                  <c:v>10002.347329602377</c:v>
                </c:pt>
                <c:pt idx="9">
                  <c:v>10760.863113634026</c:v>
                </c:pt>
              </c:numCache>
            </c:numRef>
          </c:val>
          <c:smooth val="0"/>
          <c:extLst>
            <c:ext xmlns:c16="http://schemas.microsoft.com/office/drawing/2014/chart" uri="{C3380CC4-5D6E-409C-BE32-E72D297353CC}">
              <c16:uniqueId val="{00000000-5AAC-499C-A326-74BFFCD8FF3F}"/>
            </c:ext>
          </c:extLst>
        </c:ser>
        <c:ser>
          <c:idx val="1"/>
          <c:order val="1"/>
          <c:tx>
            <c:strRef>
              <c:f>'Pile Slash Decomposition'!$BL$48</c:f>
              <c:strCache>
                <c:ptCount val="1"/>
                <c:pt idx="0">
                  <c:v>Douglas Fir</c:v>
                </c:pt>
              </c:strCache>
            </c:strRef>
          </c:tx>
          <c:spPr>
            <a:ln w="28575" cap="rnd">
              <a:solidFill>
                <a:schemeClr val="accent2"/>
              </a:solidFill>
              <a:round/>
            </a:ln>
            <a:effectLst/>
          </c:spPr>
          <c:marker>
            <c:symbol val="none"/>
          </c:marker>
          <c:cat>
            <c:numRef>
              <c:f>'Pile Slash Decomposition'!$BM$46:$BV$46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Decomposition'!$BM$48:$BV$48</c:f>
              <c:numCache>
                <c:formatCode>#,##0.00_);\(#,##0.00\)</c:formatCode>
                <c:ptCount val="10"/>
                <c:pt idx="0">
                  <c:v>5747.6635234615223</c:v>
                </c:pt>
                <c:pt idx="1">
                  <c:v>10837.176981157752</c:v>
                </c:pt>
                <c:pt idx="2">
                  <c:v>15344.630917193961</c:v>
                </c:pt>
                <c:pt idx="3">
                  <c:v>19337.264897352106</c:v>
                </c:pt>
                <c:pt idx="4">
                  <c:v>22874.501030866188</c:v>
                </c:pt>
                <c:pt idx="5">
                  <c:v>26008.856519536748</c:v>
                </c:pt>
                <c:pt idx="6">
                  <c:v>28786.749414933169</c:v>
                </c:pt>
                <c:pt idx="7">
                  <c:v>31249.210100601304</c:v>
                </c:pt>
                <c:pt idx="8">
                  <c:v>33432.509547690643</c:v>
                </c:pt>
                <c:pt idx="9">
                  <c:v>35368.714096301512</c:v>
                </c:pt>
              </c:numCache>
            </c:numRef>
          </c:val>
          <c:smooth val="0"/>
          <c:extLst>
            <c:ext xmlns:c16="http://schemas.microsoft.com/office/drawing/2014/chart" uri="{C3380CC4-5D6E-409C-BE32-E72D297353CC}">
              <c16:uniqueId val="{00000001-5AAC-499C-A326-74BFFCD8FF3F}"/>
            </c:ext>
          </c:extLst>
        </c:ser>
        <c:ser>
          <c:idx val="2"/>
          <c:order val="2"/>
          <c:tx>
            <c:strRef>
              <c:f>'Pile Slash Decomposition'!$BL$49</c:f>
              <c:strCache>
                <c:ptCount val="1"/>
                <c:pt idx="0">
                  <c:v>Hemlock Fir</c:v>
                </c:pt>
              </c:strCache>
            </c:strRef>
          </c:tx>
          <c:spPr>
            <a:ln w="28575" cap="rnd">
              <a:solidFill>
                <a:schemeClr val="accent3"/>
              </a:solidFill>
              <a:round/>
            </a:ln>
            <a:effectLst/>
          </c:spPr>
          <c:marker>
            <c:symbol val="none"/>
          </c:marker>
          <c:cat>
            <c:numRef>
              <c:f>'Pile Slash Decomposition'!$BM$46:$BV$46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Decomposition'!$BM$49:$BV$49</c:f>
              <c:numCache>
                <c:formatCode>#,##0.00_);\(#,##0.00\)</c:formatCode>
                <c:ptCount val="10"/>
                <c:pt idx="0">
                  <c:v>3863.8519320217206</c:v>
                </c:pt>
                <c:pt idx="1">
                  <c:v>7219.9055044708366</c:v>
                </c:pt>
                <c:pt idx="2">
                  <c:v>10135.320250349272</c:v>
                </c:pt>
                <c:pt idx="3">
                  <c:v>12668.320722019334</c:v>
                </c:pt>
                <c:pt idx="4">
                  <c:v>14869.391734160075</c:v>
                </c:pt>
                <c:pt idx="5">
                  <c:v>16782.312915174254</c:v>
                </c:pt>
                <c:pt idx="6">
                  <c:v>18445.054269018408</c:v>
                </c:pt>
                <c:pt idx="7">
                  <c:v>19890.551506545697</c:v>
                </c:pt>
                <c:pt idx="8">
                  <c:v>21147.377363084877</c:v>
                </c:pt>
                <c:pt idx="9">
                  <c:v>22240.322922445041</c:v>
                </c:pt>
              </c:numCache>
            </c:numRef>
          </c:val>
          <c:smooth val="0"/>
          <c:extLst>
            <c:ext xmlns:c16="http://schemas.microsoft.com/office/drawing/2014/chart" uri="{C3380CC4-5D6E-409C-BE32-E72D297353CC}">
              <c16:uniqueId val="{00000002-5AAC-499C-A326-74BFFCD8FF3F}"/>
            </c:ext>
          </c:extLst>
        </c:ser>
        <c:ser>
          <c:idx val="3"/>
          <c:order val="3"/>
          <c:tx>
            <c:strRef>
              <c:f>'Pile Slash Decomposition'!$BL$50</c:f>
              <c:strCache>
                <c:ptCount val="1"/>
                <c:pt idx="0">
                  <c:v>Ponderosa Pine</c:v>
                </c:pt>
              </c:strCache>
            </c:strRef>
          </c:tx>
          <c:spPr>
            <a:ln w="28575" cap="rnd">
              <a:solidFill>
                <a:schemeClr val="accent4"/>
              </a:solidFill>
              <a:round/>
            </a:ln>
            <a:effectLst/>
          </c:spPr>
          <c:marker>
            <c:symbol val="none"/>
          </c:marker>
          <c:cat>
            <c:numRef>
              <c:f>'Pile Slash Decomposition'!$BM$46:$BV$46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Decomposition'!$BM$50:$BV$50</c:f>
              <c:numCache>
                <c:formatCode>#,##0.00_);\(#,##0.00\)</c:formatCode>
                <c:ptCount val="10"/>
                <c:pt idx="0">
                  <c:v>1359.416443828477</c:v>
                </c:pt>
                <c:pt idx="1">
                  <c:v>2529.4770203150338</c:v>
                </c:pt>
                <c:pt idx="2">
                  <c:v>3536.5574913975152</c:v>
                </c:pt>
                <c:pt idx="3">
                  <c:v>4403.3596857601106</c:v>
                </c:pt>
                <c:pt idx="4">
                  <c:v>5149.4232484307404</c:v>
                </c:pt>
                <c:pt idx="5">
                  <c:v>5791.566107741447</c:v>
                </c:pt>
                <c:pt idx="6">
                  <c:v>6344.2635887545666</c:v>
                </c:pt>
                <c:pt idx="7">
                  <c:v>6819.9747192125951</c:v>
                </c:pt>
                <c:pt idx="8">
                  <c:v>7229.4230836720008</c:v>
                </c:pt>
                <c:pt idx="9">
                  <c:v>7581.8385568964068</c:v>
                </c:pt>
              </c:numCache>
            </c:numRef>
          </c:val>
          <c:smooth val="0"/>
          <c:extLst>
            <c:ext xmlns:c16="http://schemas.microsoft.com/office/drawing/2014/chart" uri="{C3380CC4-5D6E-409C-BE32-E72D297353CC}">
              <c16:uniqueId val="{00000003-5AAC-499C-A326-74BFFCD8FF3F}"/>
            </c:ext>
          </c:extLst>
        </c:ser>
        <c:ser>
          <c:idx val="4"/>
          <c:order val="4"/>
          <c:tx>
            <c:strRef>
              <c:f>'Pile Slash Decomposition'!$BL$51</c:f>
              <c:strCache>
                <c:ptCount val="1"/>
                <c:pt idx="0">
                  <c:v>Southern Yellow Pine</c:v>
                </c:pt>
              </c:strCache>
            </c:strRef>
          </c:tx>
          <c:spPr>
            <a:ln w="28575" cap="rnd">
              <a:solidFill>
                <a:schemeClr val="accent5"/>
              </a:solidFill>
              <a:round/>
            </a:ln>
            <a:effectLst/>
          </c:spPr>
          <c:marker>
            <c:symbol val="none"/>
          </c:marker>
          <c:cat>
            <c:numRef>
              <c:f>'Pile Slash Decomposition'!$BM$46:$BV$46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Decomposition'!$BM$51:$BV$51</c:f>
              <c:numCache>
                <c:formatCode>#,##0.00_);\(#,##0.00\)</c:formatCode>
                <c:ptCount val="10"/>
                <c:pt idx="0">
                  <c:v>1030.5592534757614</c:v>
                </c:pt>
                <c:pt idx="1">
                  <c:v>1882.1421031265972</c:v>
                </c:pt>
                <c:pt idx="2">
                  <c:v>2586.1004905369996</c:v>
                </c:pt>
                <c:pt idx="3">
                  <c:v>3168.2551787548664</c:v>
                </c:pt>
                <c:pt idx="4">
                  <c:v>3649.8772174440178</c:v>
                </c:pt>
                <c:pt idx="5">
                  <c:v>4048.4944470397481</c:v>
                </c:pt>
                <c:pt idx="6">
                  <c:v>4378.5543462597316</c:v>
                </c:pt>
                <c:pt idx="7">
                  <c:v>4651.9689100128617</c:v>
                </c:pt>
                <c:pt idx="8">
                  <c:v>4878.5626377159651</c:v>
                </c:pt>
                <c:pt idx="9">
                  <c:v>5066.4409332505538</c:v>
                </c:pt>
              </c:numCache>
            </c:numRef>
          </c:val>
          <c:smooth val="0"/>
          <c:extLst>
            <c:ext xmlns:c16="http://schemas.microsoft.com/office/drawing/2014/chart" uri="{C3380CC4-5D6E-409C-BE32-E72D297353CC}">
              <c16:uniqueId val="{00000004-5AAC-499C-A326-74BFFCD8FF3F}"/>
            </c:ext>
          </c:extLst>
        </c:ser>
        <c:ser>
          <c:idx val="5"/>
          <c:order val="5"/>
          <c:tx>
            <c:strRef>
              <c:f>'Pile Slash Decomposition'!$BL$52</c:f>
              <c:strCache>
                <c:ptCount val="1"/>
                <c:pt idx="0">
                  <c:v>Spruce Pine Fir</c:v>
                </c:pt>
              </c:strCache>
            </c:strRef>
          </c:tx>
          <c:spPr>
            <a:ln w="28575" cap="rnd">
              <a:solidFill>
                <a:schemeClr val="accent6"/>
              </a:solidFill>
              <a:round/>
            </a:ln>
            <a:effectLst/>
          </c:spPr>
          <c:marker>
            <c:symbol val="none"/>
          </c:marker>
          <c:cat>
            <c:numRef>
              <c:f>'Pile Slash Decomposition'!$BM$46:$BV$46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Decomposition'!$BM$52:$BV$52</c:f>
              <c:numCache>
                <c:formatCode>#,##0.00_);\(#,##0.00\)</c:formatCode>
                <c:ptCount val="10"/>
                <c:pt idx="0">
                  <c:v>758.09471671758286</c:v>
                </c:pt>
                <c:pt idx="1">
                  <c:v>1401.381679083556</c:v>
                </c:pt>
                <c:pt idx="2">
                  <c:v>1947.5224001157737</c:v>
                </c:pt>
                <c:pt idx="3">
                  <c:v>2411.4156181253625</c:v>
                </c:pt>
                <c:pt idx="4">
                  <c:v>2805.6369933826695</c:v>
                </c:pt>
                <c:pt idx="5">
                  <c:v>3140.8076133550985</c:v>
                </c:pt>
                <c:pt idx="6">
                  <c:v>3425.9030256719848</c:v>
                </c:pt>
                <c:pt idx="7">
                  <c:v>3668.5125588023934</c:v>
                </c:pt>
                <c:pt idx="8">
                  <c:v>3875.057063395097</c:v>
                </c:pt>
                <c:pt idx="9">
                  <c:v>4050.9718553248858</c:v>
                </c:pt>
              </c:numCache>
            </c:numRef>
          </c:val>
          <c:smooth val="0"/>
          <c:extLst>
            <c:ext xmlns:c16="http://schemas.microsoft.com/office/drawing/2014/chart" uri="{C3380CC4-5D6E-409C-BE32-E72D297353CC}">
              <c16:uniqueId val="{00000005-5AAC-499C-A326-74BFFCD8FF3F}"/>
            </c:ext>
          </c:extLst>
        </c:ser>
        <c:ser>
          <c:idx val="6"/>
          <c:order val="6"/>
          <c:tx>
            <c:strRef>
              <c:f>'Pile Slash Decomposition'!$BL$53</c:f>
              <c:strCache>
                <c:ptCount val="1"/>
                <c:pt idx="0">
                  <c:v>Western Red Cedar</c:v>
                </c:pt>
              </c:strCache>
            </c:strRef>
          </c:tx>
          <c:spPr>
            <a:ln w="28575" cap="rnd">
              <a:solidFill>
                <a:schemeClr val="accent1">
                  <a:lumMod val="60000"/>
                </a:schemeClr>
              </a:solidFill>
              <a:round/>
            </a:ln>
            <a:effectLst/>
          </c:spPr>
          <c:marker>
            <c:symbol val="none"/>
          </c:marker>
          <c:cat>
            <c:numRef>
              <c:f>'Pile Slash Decomposition'!$BM$46:$BV$46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'Pile Slash Decomposition'!$BM$53:$BV$53</c:f>
              <c:numCache>
                <c:formatCode>#,##0.00_);\(#,##0.00\)</c:formatCode>
                <c:ptCount val="10"/>
                <c:pt idx="0">
                  <c:v>217.28790538028139</c:v>
                </c:pt>
                <c:pt idx="1">
                  <c:v>409.48689186525132</c:v>
                </c:pt>
                <c:pt idx="2">
                  <c:v>579.71753379764993</c:v>
                </c:pt>
                <c:pt idx="3">
                  <c:v>730.69276642977127</c:v>
                </c:pt>
                <c:pt idx="4">
                  <c:v>864.77271355741516</c:v>
                </c:pt>
                <c:pt idx="5">
                  <c:v>984.01201923605765</c:v>
                </c:pt>
                <c:pt idx="6">
                  <c:v>1090.2007175029275</c:v>
                </c:pt>
                <c:pt idx="7">
                  <c:v>1184.8995307482094</c:v>
                </c:pt>
                <c:pt idx="8">
                  <c:v>1269.4703640027235</c:v>
                </c:pt>
                <c:pt idx="9">
                  <c:v>1345.1026561694284</c:v>
                </c:pt>
              </c:numCache>
            </c:numRef>
          </c:val>
          <c:smooth val="0"/>
          <c:extLst>
            <c:ext xmlns:c16="http://schemas.microsoft.com/office/drawing/2014/chart" uri="{C3380CC4-5D6E-409C-BE32-E72D297353CC}">
              <c16:uniqueId val="{00000006-5AAC-499C-A326-74BFFCD8FF3F}"/>
            </c:ext>
          </c:extLst>
        </c:ser>
        <c:dLbls>
          <c:showLegendKey val="0"/>
          <c:showVal val="0"/>
          <c:showCatName val="0"/>
          <c:showSerName val="0"/>
          <c:showPercent val="0"/>
          <c:showBubbleSize val="0"/>
        </c:dLbls>
        <c:smooth val="0"/>
        <c:axId val="983707167"/>
        <c:axId val="983724927"/>
      </c:lineChart>
      <c:catAx>
        <c:axId val="9837071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724927"/>
        <c:crosses val="autoZero"/>
        <c:auto val="1"/>
        <c:lblAlgn val="ctr"/>
        <c:lblOffset val="100"/>
        <c:noMultiLvlLbl val="0"/>
      </c:catAx>
      <c:valAx>
        <c:axId val="983724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Kg CO2  Release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_);\(#,##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707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16</xdr:col>
      <xdr:colOff>167640</xdr:colOff>
      <xdr:row>2</xdr:row>
      <xdr:rowOff>0</xdr:rowOff>
    </xdr:from>
    <xdr:to>
      <xdr:col>36</xdr:col>
      <xdr:colOff>0</xdr:colOff>
      <xdr:row>34</xdr:row>
      <xdr:rowOff>143272</xdr:rowOff>
    </xdr:to>
    <xdr:pic>
      <xdr:nvPicPr>
        <xdr:cNvPr id="3" name="Picture 2" descr="A map of the united states&#10;&#10;Description automatically generated">
          <a:extLst>
            <a:ext uri="{FF2B5EF4-FFF2-40B4-BE49-F238E27FC236}">
              <a16:creationId xmlns:a16="http://schemas.microsoft.com/office/drawing/2014/main" id="{75CE2008-C798-3463-1975-A9CF93162D63}"/>
            </a:ext>
          </a:extLst>
        </xdr:cNvPr>
        <xdr:cNvPicPr>
          <a:picLocks noChangeAspect="1"/>
        </xdr:cNvPicPr>
      </xdr:nvPicPr>
      <xdr:blipFill rotWithShape="1">
        <a:blip xmlns:r="http://schemas.openxmlformats.org/officeDocument/2006/relationships" r:embed="rId1"/>
        <a:srcRect b="1700"/>
        <a:stretch/>
      </xdr:blipFill>
      <xdr:spPr>
        <a:xfrm>
          <a:off x="9166860" y="335280"/>
          <a:ext cx="12420600" cy="5507752"/>
        </a:xfrm>
        <a:prstGeom prst="rect">
          <a:avLst/>
        </a:prstGeom>
        <a:noFill/>
      </xdr:spPr>
    </xdr:pic>
    <xdr:clientData/>
  </xdr:twoCellAnchor>
  <xdr:twoCellAnchor editAs="oneCell">
    <xdr:from>
      <xdr:col>10</xdr:col>
      <xdr:colOff>0</xdr:colOff>
      <xdr:row>12</xdr:row>
      <xdr:rowOff>0</xdr:rowOff>
    </xdr:from>
    <xdr:to>
      <xdr:col>14</xdr:col>
      <xdr:colOff>57559</xdr:colOff>
      <xdr:row>35</xdr:row>
      <xdr:rowOff>9562</xdr:rowOff>
    </xdr:to>
    <xdr:pic>
      <xdr:nvPicPr>
        <xdr:cNvPr id="5" name="Picture 4">
          <a:extLst>
            <a:ext uri="{FF2B5EF4-FFF2-40B4-BE49-F238E27FC236}">
              <a16:creationId xmlns:a16="http://schemas.microsoft.com/office/drawing/2014/main" id="{FD159140-EB45-528E-604B-714F607AFEB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8" y="1882588"/>
          <a:ext cx="2478029" cy="36178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150157</xdr:colOff>
      <xdr:row>35</xdr:row>
      <xdr:rowOff>66301</xdr:rowOff>
    </xdr:from>
    <xdr:to>
      <xdr:col>25</xdr:col>
      <xdr:colOff>0</xdr:colOff>
      <xdr:row>79</xdr:row>
      <xdr:rowOff>0</xdr:rowOff>
    </xdr:to>
    <xdr:graphicFrame macro="">
      <xdr:nvGraphicFramePr>
        <xdr:cNvPr id="3" name="Chart 2">
          <a:extLst>
            <a:ext uri="{FF2B5EF4-FFF2-40B4-BE49-F238E27FC236}">
              <a16:creationId xmlns:a16="http://schemas.microsoft.com/office/drawing/2014/main" id="{9A1A8775-E78D-4DE3-B4F7-90154C009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166687</xdr:colOff>
      <xdr:row>37</xdr:row>
      <xdr:rowOff>47625</xdr:rowOff>
    </xdr:from>
    <xdr:to>
      <xdr:col>49</xdr:col>
      <xdr:colOff>294408</xdr:colOff>
      <xdr:row>79</xdr:row>
      <xdr:rowOff>47625</xdr:rowOff>
    </xdr:to>
    <xdr:graphicFrame macro="">
      <xdr:nvGraphicFramePr>
        <xdr:cNvPr id="2" name="Chart 1">
          <a:extLst>
            <a:ext uri="{FF2B5EF4-FFF2-40B4-BE49-F238E27FC236}">
              <a16:creationId xmlns:a16="http://schemas.microsoft.com/office/drawing/2014/main" id="{DA6C6C25-0157-BEF0-01BE-8554ADB4DF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84</xdr:row>
      <xdr:rowOff>0</xdr:rowOff>
    </xdr:from>
    <xdr:to>
      <xdr:col>25</xdr:col>
      <xdr:colOff>0</xdr:colOff>
      <xdr:row>120</xdr:row>
      <xdr:rowOff>70410</xdr:rowOff>
    </xdr:to>
    <xdr:graphicFrame macro="">
      <xdr:nvGraphicFramePr>
        <xdr:cNvPr id="4" name="Chart 3">
          <a:extLst>
            <a:ext uri="{FF2B5EF4-FFF2-40B4-BE49-F238E27FC236}">
              <a16:creationId xmlns:a16="http://schemas.microsoft.com/office/drawing/2014/main" id="{EDB3805C-E168-352F-7120-2F1ECC494C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453837</xdr:colOff>
      <xdr:row>84</xdr:row>
      <xdr:rowOff>89647</xdr:rowOff>
    </xdr:from>
    <xdr:to>
      <xdr:col>47</xdr:col>
      <xdr:colOff>484909</xdr:colOff>
      <xdr:row>120</xdr:row>
      <xdr:rowOff>24465</xdr:rowOff>
    </xdr:to>
    <xdr:graphicFrame macro="">
      <xdr:nvGraphicFramePr>
        <xdr:cNvPr id="5" name="Chart 4">
          <a:extLst>
            <a:ext uri="{FF2B5EF4-FFF2-40B4-BE49-F238E27FC236}">
              <a16:creationId xmlns:a16="http://schemas.microsoft.com/office/drawing/2014/main" id="{ADFB09FB-8536-DB95-2734-12636AB63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2502354</xdr:colOff>
      <xdr:row>9</xdr:row>
      <xdr:rowOff>43542</xdr:rowOff>
    </xdr:from>
    <xdr:to>
      <xdr:col>4</xdr:col>
      <xdr:colOff>2762250</xdr:colOff>
      <xdr:row>56</xdr:row>
      <xdr:rowOff>0</xdr:rowOff>
    </xdr:to>
    <xdr:graphicFrame macro="">
      <xdr:nvGraphicFramePr>
        <xdr:cNvPr id="2" name="Chart 1">
          <a:extLst>
            <a:ext uri="{FF2B5EF4-FFF2-40B4-BE49-F238E27FC236}">
              <a16:creationId xmlns:a16="http://schemas.microsoft.com/office/drawing/2014/main" id="{A9C7B3CE-24D9-4174-B217-E7A8B8E8F9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314325</xdr:colOff>
      <xdr:row>15</xdr:row>
      <xdr:rowOff>90487</xdr:rowOff>
    </xdr:from>
    <xdr:to>
      <xdr:col>13</xdr:col>
      <xdr:colOff>1171575</xdr:colOff>
      <xdr:row>52</xdr:row>
      <xdr:rowOff>0</xdr:rowOff>
    </xdr:to>
    <xdr:graphicFrame macro="">
      <xdr:nvGraphicFramePr>
        <xdr:cNvPr id="3" name="Chart 2">
          <a:extLst>
            <a:ext uri="{FF2B5EF4-FFF2-40B4-BE49-F238E27FC236}">
              <a16:creationId xmlns:a16="http://schemas.microsoft.com/office/drawing/2014/main" id="{2418ED46-C858-0859-79AF-178649BA86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561974</xdr:colOff>
      <xdr:row>4</xdr:row>
      <xdr:rowOff>152400</xdr:rowOff>
    </xdr:from>
    <xdr:to>
      <xdr:col>25</xdr:col>
      <xdr:colOff>590550</xdr:colOff>
      <xdr:row>31</xdr:row>
      <xdr:rowOff>225425</xdr:rowOff>
    </xdr:to>
    <xdr:graphicFrame macro="">
      <xdr:nvGraphicFramePr>
        <xdr:cNvPr id="2" name="Chart 1">
          <a:extLst>
            <a:ext uri="{FF2B5EF4-FFF2-40B4-BE49-F238E27FC236}">
              <a16:creationId xmlns:a16="http://schemas.microsoft.com/office/drawing/2014/main" id="{986B1D66-7F22-4EAD-BB05-C1412E7540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9525</xdr:colOff>
      <xdr:row>5</xdr:row>
      <xdr:rowOff>20637</xdr:rowOff>
    </xdr:from>
    <xdr:to>
      <xdr:col>52</xdr:col>
      <xdr:colOff>511175</xdr:colOff>
      <xdr:row>29</xdr:row>
      <xdr:rowOff>0</xdr:rowOff>
    </xdr:to>
    <xdr:graphicFrame macro="">
      <xdr:nvGraphicFramePr>
        <xdr:cNvPr id="3" name="Chart 2">
          <a:extLst>
            <a:ext uri="{FF2B5EF4-FFF2-40B4-BE49-F238E27FC236}">
              <a16:creationId xmlns:a16="http://schemas.microsoft.com/office/drawing/2014/main" id="{147E32C8-E673-4569-A79C-56F5DA132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63</xdr:col>
      <xdr:colOff>1249680</xdr:colOff>
      <xdr:row>56</xdr:row>
      <xdr:rowOff>34290</xdr:rowOff>
    </xdr:from>
    <xdr:to>
      <xdr:col>76</xdr:col>
      <xdr:colOff>15240</xdr:colOff>
      <xdr:row>83</xdr:row>
      <xdr:rowOff>30480</xdr:rowOff>
    </xdr:to>
    <xdr:graphicFrame macro="">
      <xdr:nvGraphicFramePr>
        <xdr:cNvPr id="4" name="Chart 3">
          <a:extLst>
            <a:ext uri="{FF2B5EF4-FFF2-40B4-BE49-F238E27FC236}">
              <a16:creationId xmlns:a16="http://schemas.microsoft.com/office/drawing/2014/main" id="{3C1428BC-D3E4-4EAE-BF4B-596BDAC4AB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5</v>
  </rv>
  <rv s="0">
    <v>1</v>
    <v>5</v>
  </rv>
  <rv s="0">
    <v>2</v>
    <v>5</v>
  </rv>
  <rv s="0">
    <v>3</v>
    <v>5</v>
  </rv>
  <rv s="0">
    <v>4</v>
    <v>5</v>
  </rv>
  <rv s="0">
    <v>5</v>
    <v>5</v>
  </rv>
  <rv s="0">
    <v>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7D5EB-22B9-49CC-91CC-03DBA0798F31}">
  <dimension ref="B2:AK46"/>
  <sheetViews>
    <sheetView showGridLines="0" zoomScale="85" zoomScaleNormal="85" workbookViewId="0">
      <selection activeCell="E54" sqref="E54"/>
    </sheetView>
  </sheetViews>
  <sheetFormatPr defaultRowHeight="12.75" x14ac:dyDescent="0.2"/>
  <cols>
    <col min="1" max="2" width="2.7109375" customWidth="1"/>
    <col min="3" max="3" width="16.28515625" bestFit="1" customWidth="1"/>
    <col min="15" max="15" width="2.7109375" customWidth="1"/>
    <col min="17" max="17" width="2.7109375" customWidth="1"/>
    <col min="18" max="18" width="20.7109375" customWidth="1"/>
    <col min="37" max="37" width="2.7109375" customWidth="1"/>
  </cols>
  <sheetData>
    <row r="2" spans="2:37" x14ac:dyDescent="0.2">
      <c r="B2" s="1"/>
      <c r="C2" s="1" t="s">
        <v>0</v>
      </c>
      <c r="D2" s="1"/>
      <c r="E2" s="1"/>
      <c r="F2" s="1"/>
      <c r="G2" s="1"/>
      <c r="H2" s="1"/>
      <c r="I2" s="1"/>
      <c r="J2" s="1"/>
      <c r="K2" s="1"/>
      <c r="L2" s="1"/>
      <c r="M2" s="1"/>
      <c r="N2" s="1"/>
      <c r="O2" s="1"/>
      <c r="Q2" s="1"/>
      <c r="R2" s="1"/>
      <c r="S2" s="1"/>
      <c r="T2" s="1"/>
      <c r="U2" s="1"/>
      <c r="V2" s="1"/>
      <c r="W2" s="1"/>
      <c r="X2" s="1"/>
      <c r="Y2" s="1"/>
      <c r="Z2" s="1"/>
      <c r="AA2" s="1"/>
      <c r="AB2" s="1"/>
      <c r="AC2" s="1"/>
      <c r="AD2" s="1"/>
      <c r="AE2" s="1"/>
      <c r="AF2" s="1"/>
      <c r="AG2" s="1"/>
      <c r="AH2" s="1"/>
      <c r="AI2" s="1"/>
      <c r="AJ2" s="1"/>
      <c r="AK2" s="1"/>
    </row>
    <row r="3" spans="2:37" x14ac:dyDescent="0.2">
      <c r="B3" s="1"/>
      <c r="C3" s="4" t="s">
        <v>1</v>
      </c>
      <c r="D3" s="1"/>
      <c r="E3" s="1"/>
      <c r="F3" s="1"/>
      <c r="G3" s="1"/>
      <c r="H3" s="1"/>
      <c r="I3" s="1"/>
      <c r="J3" s="1"/>
      <c r="K3" s="1"/>
      <c r="L3" s="1"/>
      <c r="M3" s="1"/>
      <c r="N3" s="1"/>
      <c r="O3" s="1"/>
      <c r="Q3" s="1"/>
      <c r="R3" s="1"/>
      <c r="S3" s="1"/>
      <c r="T3" s="1"/>
      <c r="U3" s="1"/>
      <c r="V3" s="1"/>
      <c r="W3" s="1"/>
      <c r="X3" s="1"/>
      <c r="Y3" s="1"/>
      <c r="Z3" s="1"/>
      <c r="AA3" s="1"/>
      <c r="AB3" s="1"/>
      <c r="AC3" s="1"/>
      <c r="AD3" s="1"/>
      <c r="AE3" s="1"/>
      <c r="AF3" s="1"/>
      <c r="AG3" s="1"/>
      <c r="AH3" s="1"/>
      <c r="AI3" s="1"/>
      <c r="AJ3" s="1"/>
      <c r="AK3" s="1"/>
    </row>
    <row r="4" spans="2:37" x14ac:dyDescent="0.2">
      <c r="B4" s="1"/>
      <c r="C4" s="4" t="s">
        <v>2</v>
      </c>
      <c r="D4" s="1"/>
      <c r="E4" s="1"/>
      <c r="F4" s="1"/>
      <c r="G4" s="1"/>
      <c r="H4" s="1"/>
      <c r="I4" s="1"/>
      <c r="J4" s="1"/>
      <c r="K4" s="1"/>
      <c r="L4" s="1"/>
      <c r="M4" s="1"/>
      <c r="N4" s="1"/>
      <c r="O4" s="1"/>
      <c r="Q4" s="1"/>
      <c r="R4" s="1"/>
      <c r="S4" s="1"/>
      <c r="T4" s="1"/>
      <c r="U4" s="1"/>
      <c r="V4" s="1"/>
      <c r="W4" s="1"/>
      <c r="X4" s="1"/>
      <c r="Y4" s="1"/>
      <c r="Z4" s="1"/>
      <c r="AA4" s="1"/>
      <c r="AB4" s="1"/>
      <c r="AC4" s="1"/>
      <c r="AD4" s="1"/>
      <c r="AE4" s="1"/>
      <c r="AF4" s="1"/>
      <c r="AG4" s="1"/>
      <c r="AH4" s="1"/>
      <c r="AI4" s="1"/>
      <c r="AJ4" s="1"/>
      <c r="AK4" s="1"/>
    </row>
    <row r="5" spans="2:37" x14ac:dyDescent="0.2">
      <c r="B5" s="1"/>
      <c r="C5" s="4" t="s">
        <v>3</v>
      </c>
      <c r="D5" s="1"/>
      <c r="E5" s="1"/>
      <c r="F5" s="1"/>
      <c r="G5" s="1"/>
      <c r="H5" s="1"/>
      <c r="I5" s="1"/>
      <c r="J5" s="1"/>
      <c r="K5" s="1"/>
      <c r="L5" s="1"/>
      <c r="M5" s="1"/>
      <c r="N5" s="1"/>
      <c r="O5" s="1"/>
      <c r="Q5" s="1"/>
      <c r="R5" s="1"/>
      <c r="S5" s="1"/>
      <c r="T5" s="1"/>
      <c r="U5" s="1"/>
      <c r="V5" s="1"/>
      <c r="W5" s="1"/>
      <c r="X5" s="1"/>
      <c r="Y5" s="1"/>
      <c r="Z5" s="1"/>
      <c r="AA5" s="1"/>
      <c r="AB5" s="1"/>
      <c r="AC5" s="1"/>
      <c r="AD5" s="1"/>
      <c r="AE5" s="1"/>
      <c r="AF5" s="1"/>
      <c r="AG5" s="1"/>
      <c r="AH5" s="1"/>
      <c r="AI5" s="1"/>
      <c r="AJ5" s="1"/>
      <c r="AK5" s="1"/>
    </row>
    <row r="6" spans="2:37" x14ac:dyDescent="0.2">
      <c r="B6" s="1"/>
      <c r="C6" s="4" t="s">
        <v>4</v>
      </c>
      <c r="D6" s="1"/>
      <c r="E6" s="1"/>
      <c r="F6" s="1"/>
      <c r="G6" s="1"/>
      <c r="H6" s="1"/>
      <c r="I6" s="1"/>
      <c r="J6" s="1"/>
      <c r="K6" s="1"/>
      <c r="L6" s="1"/>
      <c r="M6" s="1"/>
      <c r="N6" s="1"/>
      <c r="O6" s="1"/>
      <c r="Q6" s="1"/>
      <c r="R6" s="1"/>
      <c r="S6" s="1"/>
      <c r="T6" s="1"/>
      <c r="U6" s="1"/>
      <c r="V6" s="1"/>
      <c r="W6" s="1"/>
      <c r="X6" s="1"/>
      <c r="Y6" s="1"/>
      <c r="Z6" s="1"/>
      <c r="AA6" s="1"/>
      <c r="AB6" s="1"/>
      <c r="AC6" s="1"/>
      <c r="AD6" s="1"/>
      <c r="AE6" s="1"/>
      <c r="AF6" s="1"/>
      <c r="AG6" s="1"/>
      <c r="AH6" s="1"/>
      <c r="AI6" s="1"/>
      <c r="AJ6" s="1"/>
      <c r="AK6" s="1"/>
    </row>
    <row r="7" spans="2:37" x14ac:dyDescent="0.2">
      <c r="B7" s="1"/>
      <c r="C7" s="1"/>
      <c r="D7" s="1"/>
      <c r="E7" s="1"/>
      <c r="F7" s="1"/>
      <c r="G7" s="1"/>
      <c r="H7" s="1"/>
      <c r="I7" s="1"/>
      <c r="J7" s="1"/>
      <c r="K7" s="1"/>
      <c r="L7" s="1"/>
      <c r="M7" s="1"/>
      <c r="N7" s="1"/>
      <c r="O7" s="1"/>
      <c r="Q7" s="1"/>
      <c r="R7" s="1"/>
      <c r="S7" s="1"/>
      <c r="T7" s="1"/>
      <c r="U7" s="1"/>
      <c r="V7" s="1"/>
      <c r="W7" s="1"/>
      <c r="X7" s="1"/>
      <c r="Y7" s="1"/>
      <c r="Z7" s="1"/>
      <c r="AA7" s="1"/>
      <c r="AB7" s="1"/>
      <c r="AC7" s="1"/>
      <c r="AD7" s="1"/>
      <c r="AE7" s="1"/>
      <c r="AF7" s="1"/>
      <c r="AG7" s="1"/>
      <c r="AH7" s="1"/>
      <c r="AI7" s="1"/>
      <c r="AJ7" s="1"/>
      <c r="AK7" s="1"/>
    </row>
    <row r="8" spans="2:37" x14ac:dyDescent="0.2">
      <c r="B8" s="1"/>
      <c r="C8" s="1"/>
      <c r="D8" s="1"/>
      <c r="E8" s="1"/>
      <c r="F8" s="1"/>
      <c r="G8" s="1"/>
      <c r="H8" s="1"/>
      <c r="I8" s="1"/>
      <c r="J8" s="1"/>
      <c r="K8" s="1"/>
      <c r="L8" s="1"/>
      <c r="M8" s="1"/>
      <c r="N8" s="1"/>
      <c r="O8" s="1"/>
      <c r="Q8" s="1"/>
      <c r="R8" s="1"/>
      <c r="S8" s="1"/>
      <c r="T8" s="1"/>
      <c r="U8" s="1"/>
      <c r="V8" s="1"/>
      <c r="W8" s="1"/>
      <c r="X8" s="1"/>
      <c r="Y8" s="1"/>
      <c r="Z8" s="1"/>
      <c r="AA8" s="1"/>
      <c r="AB8" s="1"/>
      <c r="AC8" s="1"/>
      <c r="AD8" s="1"/>
      <c r="AE8" s="1"/>
      <c r="AF8" s="1"/>
      <c r="AG8" s="1"/>
      <c r="AH8" s="1"/>
      <c r="AI8" s="1"/>
      <c r="AJ8" s="1"/>
      <c r="AK8" s="1"/>
    </row>
    <row r="9" spans="2:37" x14ac:dyDescent="0.2">
      <c r="B9" s="1"/>
      <c r="C9" s="1"/>
      <c r="D9" s="1"/>
      <c r="E9" s="1"/>
      <c r="F9" s="1"/>
      <c r="G9" s="1"/>
      <c r="H9" s="1"/>
      <c r="I9" s="1"/>
      <c r="J9" s="1"/>
      <c r="K9" s="1"/>
      <c r="L9" s="1"/>
      <c r="M9" s="1"/>
      <c r="N9" s="1"/>
      <c r="O9" s="1"/>
      <c r="Q9" s="1"/>
      <c r="R9" s="1"/>
      <c r="S9" s="1"/>
      <c r="T9" s="1"/>
      <c r="U9" s="1"/>
      <c r="V9" s="1"/>
      <c r="W9" s="1"/>
      <c r="X9" s="1"/>
      <c r="Y9" s="1"/>
      <c r="Z9" s="1"/>
      <c r="AA9" s="1"/>
      <c r="AB9" s="1"/>
      <c r="AC9" s="1"/>
      <c r="AD9" s="1"/>
      <c r="AE9" s="1"/>
      <c r="AF9" s="1"/>
      <c r="AG9" s="1"/>
      <c r="AH9" s="1"/>
      <c r="AI9" s="1"/>
      <c r="AJ9" s="1"/>
      <c r="AK9" s="1"/>
    </row>
    <row r="10" spans="2:37" x14ac:dyDescent="0.2">
      <c r="B10" s="1"/>
      <c r="C10" s="1" t="s">
        <v>5</v>
      </c>
      <c r="D10" s="1"/>
      <c r="E10" s="1"/>
      <c r="F10" s="1"/>
      <c r="G10" s="1"/>
      <c r="H10" s="1"/>
      <c r="I10" s="1"/>
      <c r="J10" s="1"/>
      <c r="K10" s="1"/>
      <c r="L10" s="1"/>
      <c r="M10" s="1"/>
      <c r="N10" s="1"/>
      <c r="O10" s="1"/>
      <c r="Q10" s="1"/>
      <c r="R10" s="1"/>
      <c r="S10" s="1"/>
      <c r="T10" s="1"/>
      <c r="U10" s="1"/>
      <c r="V10" s="1"/>
      <c r="W10" s="1"/>
      <c r="X10" s="1"/>
      <c r="Y10" s="1"/>
      <c r="Z10" s="1"/>
      <c r="AA10" s="1"/>
      <c r="AB10" s="1"/>
      <c r="AC10" s="1"/>
      <c r="AD10" s="1"/>
      <c r="AE10" s="1"/>
      <c r="AF10" s="1"/>
      <c r="AG10" s="1"/>
      <c r="AH10" s="1"/>
      <c r="AI10" s="1"/>
      <c r="AJ10" s="1"/>
      <c r="AK10" s="1"/>
    </row>
    <row r="11" spans="2:37" x14ac:dyDescent="0.2">
      <c r="B11" s="1">
        <v>1</v>
      </c>
      <c r="C11" s="4" t="s">
        <v>241</v>
      </c>
      <c r="D11" s="1"/>
      <c r="E11" s="1" t="s">
        <v>6</v>
      </c>
      <c r="F11" s="1"/>
      <c r="G11" s="1"/>
      <c r="H11" s="1"/>
      <c r="I11" s="1"/>
      <c r="J11" s="1"/>
      <c r="K11" s="1"/>
      <c r="L11" s="1"/>
      <c r="M11" s="1"/>
      <c r="N11" s="1"/>
      <c r="O11" s="1"/>
      <c r="Q11" s="1"/>
      <c r="R11" s="1"/>
      <c r="S11" s="1"/>
      <c r="T11" s="1"/>
      <c r="U11" s="1"/>
      <c r="V11" s="1"/>
      <c r="W11" s="1"/>
      <c r="X11" s="1"/>
      <c r="Y11" s="1"/>
      <c r="Z11" s="1"/>
      <c r="AA11" s="1"/>
      <c r="AB11" s="1"/>
      <c r="AC11" s="1"/>
      <c r="AD11" s="1"/>
      <c r="AE11" s="1"/>
      <c r="AF11" s="1"/>
      <c r="AG11" s="1"/>
      <c r="AH11" s="1"/>
      <c r="AI11" s="1"/>
      <c r="AJ11" s="1"/>
      <c r="AK11" s="1"/>
    </row>
    <row r="12" spans="2:37" x14ac:dyDescent="0.2">
      <c r="B12" s="1">
        <v>2</v>
      </c>
      <c r="C12" s="4" t="s">
        <v>7</v>
      </c>
      <c r="D12" s="1"/>
      <c r="E12" s="1" t="s">
        <v>8</v>
      </c>
      <c r="F12" s="1"/>
      <c r="G12" s="1"/>
      <c r="H12" s="1"/>
      <c r="I12" s="1"/>
      <c r="J12" s="1"/>
      <c r="K12" s="1"/>
      <c r="L12" s="1"/>
      <c r="M12" s="1"/>
      <c r="N12" s="1"/>
      <c r="O12" s="1"/>
      <c r="Q12" s="1"/>
      <c r="R12" s="1"/>
      <c r="S12" s="1"/>
      <c r="T12" s="1"/>
      <c r="U12" s="1"/>
      <c r="V12" s="1"/>
      <c r="W12" s="1"/>
      <c r="X12" s="1"/>
      <c r="Y12" s="1"/>
      <c r="Z12" s="1"/>
      <c r="AA12" s="1"/>
      <c r="AB12" s="1"/>
      <c r="AC12" s="1"/>
      <c r="AD12" s="1"/>
      <c r="AE12" s="1"/>
      <c r="AF12" s="1"/>
      <c r="AG12" s="1"/>
      <c r="AH12" s="1"/>
      <c r="AI12" s="1"/>
      <c r="AJ12" s="1"/>
      <c r="AK12" s="1"/>
    </row>
    <row r="13" spans="2:37" x14ac:dyDescent="0.2">
      <c r="B13" s="1">
        <v>3</v>
      </c>
      <c r="C13" s="4" t="s">
        <v>9</v>
      </c>
      <c r="D13" s="1"/>
      <c r="E13" s="1" t="s">
        <v>10</v>
      </c>
      <c r="F13" s="1"/>
      <c r="G13" s="1"/>
      <c r="H13" s="1"/>
      <c r="I13" s="1"/>
      <c r="J13" s="1"/>
      <c r="K13" s="1"/>
      <c r="L13" s="1"/>
      <c r="M13" s="1"/>
      <c r="N13" s="1"/>
      <c r="O13" s="1"/>
      <c r="Q13" s="1"/>
      <c r="R13" s="1"/>
      <c r="S13" s="1"/>
      <c r="T13" s="1"/>
      <c r="U13" s="1"/>
      <c r="V13" s="1"/>
      <c r="W13" s="1"/>
      <c r="X13" s="1"/>
      <c r="Y13" s="1"/>
      <c r="Z13" s="1"/>
      <c r="AA13" s="1"/>
      <c r="AB13" s="1"/>
      <c r="AC13" s="1"/>
      <c r="AD13" s="1"/>
      <c r="AE13" s="1"/>
      <c r="AF13" s="1"/>
      <c r="AG13" s="1"/>
      <c r="AH13" s="1"/>
      <c r="AI13" s="1"/>
      <c r="AJ13" s="1"/>
      <c r="AK13" s="1"/>
    </row>
    <row r="14" spans="2:37" x14ac:dyDescent="0.2">
      <c r="B14" s="1">
        <v>4</v>
      </c>
      <c r="C14" s="4" t="s">
        <v>11</v>
      </c>
      <c r="D14" s="1"/>
      <c r="E14" s="1" t="s">
        <v>12</v>
      </c>
      <c r="F14" s="1"/>
      <c r="G14" s="1"/>
      <c r="H14" s="1"/>
      <c r="I14" s="1"/>
      <c r="J14" s="1"/>
      <c r="K14" s="1"/>
      <c r="L14" s="1"/>
      <c r="M14" s="1"/>
      <c r="N14" s="1"/>
      <c r="O14" s="1"/>
      <c r="Q14" s="1"/>
      <c r="R14" s="1"/>
      <c r="S14" s="1"/>
      <c r="T14" s="1"/>
      <c r="U14" s="1"/>
      <c r="V14" s="1"/>
      <c r="W14" s="1"/>
      <c r="X14" s="1"/>
      <c r="Y14" s="1"/>
      <c r="Z14" s="1"/>
      <c r="AA14" s="1"/>
      <c r="AB14" s="1"/>
      <c r="AC14" s="1"/>
      <c r="AD14" s="1"/>
      <c r="AE14" s="1"/>
      <c r="AF14" s="1"/>
      <c r="AG14" s="1"/>
      <c r="AH14" s="1"/>
      <c r="AI14" s="1"/>
      <c r="AJ14" s="1"/>
      <c r="AK14" s="1"/>
    </row>
    <row r="15" spans="2:37" x14ac:dyDescent="0.2">
      <c r="B15" s="1"/>
      <c r="C15" s="1"/>
      <c r="D15" s="1"/>
      <c r="E15" s="1"/>
      <c r="F15" s="1"/>
      <c r="G15" s="1"/>
      <c r="H15" s="1"/>
      <c r="I15" s="1"/>
      <c r="J15" s="1"/>
      <c r="K15" s="1"/>
      <c r="L15" s="1"/>
      <c r="M15" s="1"/>
      <c r="N15" s="1"/>
      <c r="O15" s="1"/>
      <c r="Q15" s="1"/>
      <c r="R15" s="1"/>
      <c r="S15" s="1"/>
      <c r="T15" s="1"/>
      <c r="U15" s="1"/>
      <c r="V15" s="1"/>
      <c r="W15" s="1"/>
      <c r="X15" s="1"/>
      <c r="Y15" s="1"/>
      <c r="Z15" s="1"/>
      <c r="AA15" s="1"/>
      <c r="AB15" s="1"/>
      <c r="AC15" s="1"/>
      <c r="AD15" s="1"/>
      <c r="AE15" s="1"/>
      <c r="AF15" s="1"/>
      <c r="AG15" s="1"/>
      <c r="AH15" s="1"/>
      <c r="AI15" s="1"/>
      <c r="AJ15" s="1"/>
      <c r="AK15" s="1"/>
    </row>
    <row r="16" spans="2:37" x14ac:dyDescent="0.2">
      <c r="B16" s="1"/>
      <c r="C16" s="1"/>
      <c r="D16" s="1"/>
      <c r="E16" s="1"/>
      <c r="F16" s="1"/>
      <c r="G16" s="1"/>
      <c r="H16" s="1"/>
      <c r="I16" s="1"/>
      <c r="J16" s="1"/>
      <c r="K16" s="1"/>
      <c r="L16" s="1"/>
      <c r="M16" s="1"/>
      <c r="N16" s="1"/>
      <c r="O16" s="1"/>
      <c r="Q16" s="1"/>
      <c r="R16" s="1"/>
      <c r="S16" s="1"/>
      <c r="T16" s="1"/>
      <c r="U16" s="1"/>
      <c r="V16" s="1"/>
      <c r="W16" s="1"/>
      <c r="X16" s="1"/>
      <c r="Y16" s="1"/>
      <c r="Z16" s="1"/>
      <c r="AA16" s="1"/>
      <c r="AB16" s="1"/>
      <c r="AC16" s="1"/>
      <c r="AD16" s="1"/>
      <c r="AE16" s="1"/>
      <c r="AF16" s="1"/>
      <c r="AG16" s="1"/>
      <c r="AH16" s="1"/>
      <c r="AI16" s="1"/>
      <c r="AJ16" s="1"/>
      <c r="AK16" s="1"/>
    </row>
    <row r="17" spans="2:37" x14ac:dyDescent="0.2">
      <c r="B17" s="1"/>
      <c r="C17" s="1"/>
      <c r="D17" s="1"/>
      <c r="E17" s="1"/>
      <c r="F17" s="1"/>
      <c r="G17" s="1"/>
      <c r="H17" s="1"/>
      <c r="I17" s="1"/>
      <c r="J17" s="1"/>
      <c r="K17" s="1"/>
      <c r="L17" s="1"/>
      <c r="M17" s="1"/>
      <c r="N17" s="1"/>
      <c r="O17" s="1"/>
      <c r="Q17" s="1"/>
      <c r="R17" s="1"/>
      <c r="S17" s="1"/>
      <c r="T17" s="1"/>
      <c r="U17" s="1"/>
      <c r="V17" s="1"/>
      <c r="W17" s="1"/>
      <c r="X17" s="1"/>
      <c r="Y17" s="1"/>
      <c r="Z17" s="1"/>
      <c r="AA17" s="1"/>
      <c r="AB17" s="1"/>
      <c r="AC17" s="1"/>
      <c r="AD17" s="1"/>
      <c r="AE17" s="1"/>
      <c r="AF17" s="1"/>
      <c r="AG17" s="1"/>
      <c r="AH17" s="1"/>
      <c r="AI17" s="1"/>
      <c r="AJ17" s="1"/>
      <c r="AK17" s="1"/>
    </row>
    <row r="18" spans="2:37" x14ac:dyDescent="0.2">
      <c r="B18" s="1"/>
      <c r="C18" s="4" t="s">
        <v>13</v>
      </c>
      <c r="D18" s="1"/>
      <c r="E18" s="1"/>
      <c r="F18" s="1"/>
      <c r="G18" s="1"/>
      <c r="H18" s="1"/>
      <c r="I18" s="1"/>
      <c r="J18" s="1"/>
      <c r="K18" s="1"/>
      <c r="L18" s="1"/>
      <c r="M18" s="1"/>
      <c r="N18" s="1"/>
      <c r="O18" s="1"/>
      <c r="Q18" s="1"/>
      <c r="R18" s="1"/>
      <c r="S18" s="1"/>
      <c r="T18" s="1"/>
      <c r="U18" s="1"/>
      <c r="V18" s="1"/>
      <c r="W18" s="1"/>
      <c r="X18" s="1"/>
      <c r="Y18" s="1"/>
      <c r="Z18" s="1"/>
      <c r="AA18" s="1"/>
      <c r="AB18" s="1"/>
      <c r="AC18" s="1"/>
      <c r="AD18" s="1"/>
      <c r="AE18" s="1"/>
      <c r="AF18" s="1"/>
      <c r="AG18" s="1"/>
      <c r="AH18" s="1"/>
      <c r="AI18" s="1"/>
      <c r="AJ18" s="1"/>
      <c r="AK18" s="1"/>
    </row>
    <row r="19" spans="2:37" x14ac:dyDescent="0.2">
      <c r="B19" s="1"/>
      <c r="C19" s="1"/>
      <c r="D19" s="1"/>
      <c r="E19" s="1"/>
      <c r="F19" s="1"/>
      <c r="G19" s="1"/>
      <c r="H19" s="1"/>
      <c r="I19" s="1"/>
      <c r="J19" s="1"/>
      <c r="K19" s="1"/>
      <c r="L19" s="1"/>
      <c r="M19" s="1"/>
      <c r="N19" s="1"/>
      <c r="O19" s="1"/>
      <c r="Q19" s="1"/>
      <c r="R19" s="1"/>
      <c r="S19" s="1"/>
      <c r="T19" s="1"/>
      <c r="U19" s="1"/>
      <c r="V19" s="1"/>
      <c r="W19" s="1"/>
      <c r="X19" s="1"/>
      <c r="Y19" s="1"/>
      <c r="Z19" s="1"/>
      <c r="AA19" s="1"/>
      <c r="AB19" s="1"/>
      <c r="AC19" s="1"/>
      <c r="AD19" s="1"/>
      <c r="AE19" s="1"/>
      <c r="AF19" s="1"/>
      <c r="AG19" s="1"/>
      <c r="AH19" s="1"/>
      <c r="AI19" s="1"/>
      <c r="AJ19" s="1"/>
      <c r="AK19" s="1"/>
    </row>
    <row r="20" spans="2:37" x14ac:dyDescent="0.2">
      <c r="B20" s="1"/>
      <c r="C20" s="68" t="s">
        <v>239</v>
      </c>
      <c r="D20" s="68"/>
      <c r="E20" s="68"/>
      <c r="F20" s="68"/>
      <c r="G20" s="68"/>
      <c r="H20" s="68"/>
      <c r="I20" s="68"/>
      <c r="J20" s="1"/>
      <c r="K20" s="1"/>
      <c r="L20" s="1"/>
      <c r="M20" s="1"/>
      <c r="N20" s="1"/>
      <c r="O20" s="1"/>
      <c r="Q20" s="1"/>
      <c r="R20" s="1"/>
      <c r="S20" s="1"/>
      <c r="T20" s="1"/>
      <c r="U20" s="1"/>
      <c r="V20" s="1"/>
      <c r="W20" s="1"/>
      <c r="X20" s="1"/>
      <c r="Y20" s="1"/>
      <c r="Z20" s="1"/>
      <c r="AA20" s="1"/>
      <c r="AB20" s="1"/>
      <c r="AC20" s="1"/>
      <c r="AD20" s="1"/>
      <c r="AE20" s="1"/>
      <c r="AF20" s="1"/>
      <c r="AG20" s="1"/>
      <c r="AH20" s="1"/>
      <c r="AI20" s="1"/>
      <c r="AJ20" s="1"/>
      <c r="AK20" s="1"/>
    </row>
    <row r="21" spans="2:37" x14ac:dyDescent="0.2">
      <c r="B21" s="1"/>
      <c r="C21" s="68"/>
      <c r="D21" s="68"/>
      <c r="E21" s="68"/>
      <c r="F21" s="68"/>
      <c r="G21" s="68"/>
      <c r="H21" s="68"/>
      <c r="I21" s="68"/>
      <c r="J21" s="1"/>
      <c r="K21" s="1"/>
      <c r="L21" s="1"/>
      <c r="M21" s="1"/>
      <c r="N21" s="1"/>
      <c r="O21" s="1"/>
      <c r="Q21" s="1"/>
      <c r="R21" s="1"/>
      <c r="S21" s="1"/>
      <c r="T21" s="1"/>
      <c r="U21" s="1"/>
      <c r="V21" s="1"/>
      <c r="W21" s="1"/>
      <c r="X21" s="1"/>
      <c r="Y21" s="1"/>
      <c r="Z21" s="1"/>
      <c r="AA21" s="1"/>
      <c r="AB21" s="1"/>
      <c r="AC21" s="1"/>
      <c r="AD21" s="1"/>
      <c r="AE21" s="1"/>
      <c r="AF21" s="1"/>
      <c r="AG21" s="1"/>
      <c r="AH21" s="1"/>
      <c r="AI21" s="1"/>
      <c r="AJ21" s="1"/>
      <c r="AK21" s="1"/>
    </row>
    <row r="22" spans="2:37" x14ac:dyDescent="0.2">
      <c r="B22" s="1"/>
      <c r="C22" s="68"/>
      <c r="D22" s="68"/>
      <c r="E22" s="68"/>
      <c r="F22" s="68"/>
      <c r="G22" s="68"/>
      <c r="H22" s="68"/>
      <c r="I22" s="68"/>
      <c r="J22" s="1"/>
      <c r="K22" s="1"/>
      <c r="L22" s="1"/>
      <c r="M22" s="1"/>
      <c r="N22" s="1"/>
      <c r="O22" s="1"/>
      <c r="Q22" s="1"/>
      <c r="R22" s="1"/>
      <c r="S22" s="1"/>
      <c r="T22" s="1"/>
      <c r="U22" s="1"/>
      <c r="V22" s="1"/>
      <c r="W22" s="1"/>
      <c r="X22" s="1"/>
      <c r="Y22" s="1"/>
      <c r="Z22" s="1"/>
      <c r="AA22" s="1"/>
      <c r="AB22" s="1"/>
      <c r="AC22" s="1"/>
      <c r="AD22" s="1"/>
      <c r="AE22" s="1"/>
      <c r="AF22" s="1"/>
      <c r="AG22" s="1"/>
      <c r="AH22" s="1"/>
      <c r="AI22" s="1"/>
      <c r="AJ22" s="1"/>
      <c r="AK22" s="1"/>
    </row>
    <row r="23" spans="2:37" x14ac:dyDescent="0.2">
      <c r="B23" s="1"/>
      <c r="C23" s="68"/>
      <c r="D23" s="68"/>
      <c r="E23" s="68"/>
      <c r="F23" s="68"/>
      <c r="G23" s="68"/>
      <c r="H23" s="68"/>
      <c r="I23" s="68"/>
      <c r="J23" s="1"/>
      <c r="K23" s="1"/>
      <c r="L23" s="1"/>
      <c r="M23" s="1"/>
      <c r="N23" s="1"/>
      <c r="O23" s="1"/>
      <c r="Q23" s="1"/>
      <c r="R23" s="1"/>
      <c r="S23" s="1"/>
      <c r="T23" s="1"/>
      <c r="U23" s="1"/>
      <c r="V23" s="1"/>
      <c r="W23" s="1"/>
      <c r="X23" s="1"/>
      <c r="Y23" s="1"/>
      <c r="Z23" s="1"/>
      <c r="AA23" s="1"/>
      <c r="AB23" s="1"/>
      <c r="AC23" s="1"/>
      <c r="AD23" s="1"/>
      <c r="AE23" s="1"/>
      <c r="AF23" s="1"/>
      <c r="AG23" s="1"/>
      <c r="AH23" s="1"/>
      <c r="AI23" s="1"/>
      <c r="AJ23" s="1"/>
      <c r="AK23" s="1"/>
    </row>
    <row r="24" spans="2:37" x14ac:dyDescent="0.2">
      <c r="B24" s="1"/>
      <c r="C24" s="68"/>
      <c r="D24" s="68"/>
      <c r="E24" s="68"/>
      <c r="F24" s="68"/>
      <c r="G24" s="68"/>
      <c r="H24" s="68"/>
      <c r="I24" s="68"/>
      <c r="J24" s="1"/>
      <c r="K24" s="1"/>
      <c r="L24" s="1"/>
      <c r="M24" s="1"/>
      <c r="N24" s="1"/>
      <c r="O24" s="1"/>
      <c r="Q24" s="1"/>
      <c r="R24" s="1"/>
      <c r="S24" s="1"/>
      <c r="T24" s="1"/>
      <c r="U24" s="1"/>
      <c r="V24" s="1"/>
      <c r="W24" s="1"/>
      <c r="X24" s="1"/>
      <c r="Y24" s="1"/>
      <c r="Z24" s="1"/>
      <c r="AA24" s="1"/>
      <c r="AB24" s="1"/>
      <c r="AC24" s="1"/>
      <c r="AD24" s="1"/>
      <c r="AE24" s="1"/>
      <c r="AF24" s="1"/>
      <c r="AG24" s="1"/>
      <c r="AH24" s="1"/>
      <c r="AI24" s="1"/>
      <c r="AJ24" s="1"/>
      <c r="AK24" s="1"/>
    </row>
    <row r="25" spans="2:37" x14ac:dyDescent="0.2">
      <c r="B25" s="1"/>
      <c r="C25" s="68"/>
      <c r="D25" s="68"/>
      <c r="E25" s="68"/>
      <c r="F25" s="68"/>
      <c r="G25" s="68"/>
      <c r="H25" s="68"/>
      <c r="I25" s="68"/>
      <c r="J25" s="1"/>
      <c r="K25" s="1"/>
      <c r="L25" s="1"/>
      <c r="M25" s="1"/>
      <c r="N25" s="1"/>
      <c r="O25" s="1"/>
      <c r="Q25" s="1"/>
      <c r="R25" s="1"/>
      <c r="S25" s="1"/>
      <c r="T25" s="1"/>
      <c r="U25" s="1"/>
      <c r="V25" s="1"/>
      <c r="W25" s="1"/>
      <c r="X25" s="1"/>
      <c r="Y25" s="1"/>
      <c r="Z25" s="1"/>
      <c r="AA25" s="1"/>
      <c r="AB25" s="1"/>
      <c r="AC25" s="1"/>
      <c r="AD25" s="1"/>
      <c r="AE25" s="1"/>
      <c r="AF25" s="1"/>
      <c r="AG25" s="1"/>
      <c r="AH25" s="1"/>
      <c r="AI25" s="1"/>
      <c r="AJ25" s="1"/>
      <c r="AK25" s="1"/>
    </row>
    <row r="26" spans="2:37" x14ac:dyDescent="0.2">
      <c r="B26" s="1"/>
      <c r="C26" s="1"/>
      <c r="D26" s="1"/>
      <c r="E26" s="1"/>
      <c r="F26" s="1"/>
      <c r="G26" s="1"/>
      <c r="H26" s="1"/>
      <c r="I26" s="1"/>
      <c r="J26" s="1"/>
      <c r="K26" s="1"/>
      <c r="L26" s="1"/>
      <c r="M26" s="1"/>
      <c r="N26" s="1"/>
      <c r="O26" s="1"/>
      <c r="Q26" s="1"/>
      <c r="R26" s="1"/>
      <c r="S26" s="1"/>
      <c r="T26" s="1"/>
      <c r="U26" s="1"/>
      <c r="V26" s="1"/>
      <c r="W26" s="1"/>
      <c r="X26" s="1"/>
      <c r="Y26" s="1"/>
      <c r="Z26" s="1"/>
      <c r="AA26" s="1"/>
      <c r="AB26" s="1"/>
      <c r="AC26" s="1"/>
      <c r="AD26" s="1"/>
      <c r="AE26" s="1"/>
      <c r="AF26" s="1"/>
      <c r="AG26" s="1"/>
      <c r="AH26" s="1"/>
      <c r="AI26" s="1"/>
      <c r="AJ26" s="1"/>
      <c r="AK26" s="1"/>
    </row>
    <row r="27" spans="2:37" x14ac:dyDescent="0.2">
      <c r="B27" s="1"/>
      <c r="C27" s="1"/>
      <c r="D27" s="1"/>
      <c r="E27" s="1"/>
      <c r="F27" s="1"/>
      <c r="G27" s="1"/>
      <c r="H27" s="1"/>
      <c r="I27" s="1"/>
      <c r="J27" s="1"/>
      <c r="K27" s="1"/>
      <c r="L27" s="1"/>
      <c r="M27" s="1"/>
      <c r="N27" s="1"/>
      <c r="O27" s="1"/>
      <c r="Q27" s="1"/>
      <c r="R27" s="1"/>
      <c r="S27" s="1"/>
      <c r="T27" s="1"/>
      <c r="U27" s="1"/>
      <c r="V27" s="1"/>
      <c r="W27" s="1"/>
      <c r="X27" s="1"/>
      <c r="Y27" s="1"/>
      <c r="Z27" s="1"/>
      <c r="AA27" s="1"/>
      <c r="AB27" s="1"/>
      <c r="AC27" s="1"/>
      <c r="AD27" s="1"/>
      <c r="AE27" s="1"/>
      <c r="AF27" s="1"/>
      <c r="AG27" s="1"/>
      <c r="AH27" s="1"/>
      <c r="AI27" s="1"/>
      <c r="AJ27" s="1"/>
      <c r="AK27" s="1"/>
    </row>
    <row r="28" spans="2:37" x14ac:dyDescent="0.2">
      <c r="B28" s="1"/>
      <c r="C28" s="1"/>
      <c r="D28" s="1"/>
      <c r="E28" s="1"/>
      <c r="F28" s="1"/>
      <c r="G28" s="1"/>
      <c r="H28" s="1"/>
      <c r="I28" s="1"/>
      <c r="J28" s="1"/>
      <c r="K28" s="1"/>
      <c r="L28" s="1"/>
      <c r="M28" s="1"/>
      <c r="N28" s="1"/>
      <c r="O28" s="1"/>
      <c r="Q28" s="1"/>
      <c r="R28" s="1"/>
      <c r="S28" s="1"/>
      <c r="T28" s="1"/>
      <c r="U28" s="1"/>
      <c r="V28" s="1"/>
      <c r="W28" s="1"/>
      <c r="X28" s="1"/>
      <c r="Y28" s="1"/>
      <c r="Z28" s="1"/>
      <c r="AA28" s="1"/>
      <c r="AB28" s="1"/>
      <c r="AC28" s="1"/>
      <c r="AD28" s="1"/>
      <c r="AE28" s="1"/>
      <c r="AF28" s="1"/>
      <c r="AG28" s="1"/>
      <c r="AH28" s="1"/>
      <c r="AI28" s="1"/>
      <c r="AJ28" s="1"/>
      <c r="AK28" s="1"/>
    </row>
    <row r="29" spans="2:37" x14ac:dyDescent="0.2">
      <c r="B29" s="1"/>
      <c r="C29" s="1"/>
      <c r="D29" s="1"/>
      <c r="E29" s="1"/>
      <c r="F29" s="1"/>
      <c r="G29" s="1"/>
      <c r="H29" s="1"/>
      <c r="I29" s="1"/>
      <c r="J29" s="1"/>
      <c r="K29" s="1"/>
      <c r="L29" s="1"/>
      <c r="M29" s="1"/>
      <c r="N29" s="1"/>
      <c r="O29" s="1"/>
      <c r="Q29" s="1"/>
      <c r="R29" s="1"/>
      <c r="S29" s="1"/>
      <c r="T29" s="1"/>
      <c r="U29" s="1"/>
      <c r="V29" s="1"/>
      <c r="W29" s="1"/>
      <c r="X29" s="1"/>
      <c r="Y29" s="1"/>
      <c r="Z29" s="1"/>
      <c r="AA29" s="1"/>
      <c r="AB29" s="1"/>
      <c r="AC29" s="1"/>
      <c r="AD29" s="1"/>
      <c r="AE29" s="1"/>
      <c r="AF29" s="1"/>
      <c r="AG29" s="1"/>
      <c r="AH29" s="1"/>
      <c r="AI29" s="1"/>
      <c r="AJ29" s="1"/>
      <c r="AK29" s="1"/>
    </row>
    <row r="30" spans="2:37" x14ac:dyDescent="0.2">
      <c r="B30" s="1"/>
      <c r="C30" s="1"/>
      <c r="D30" s="1"/>
      <c r="E30" s="1"/>
      <c r="F30" s="1"/>
      <c r="G30" s="1"/>
      <c r="H30" s="1"/>
      <c r="I30" s="1"/>
      <c r="J30" s="1"/>
      <c r="K30" s="1"/>
      <c r="L30" s="1"/>
      <c r="M30" s="1"/>
      <c r="N30" s="1"/>
      <c r="O30" s="1"/>
      <c r="Q30" s="1"/>
      <c r="R30" s="1"/>
      <c r="S30" s="1"/>
      <c r="T30" s="1"/>
      <c r="U30" s="1"/>
      <c r="V30" s="1"/>
      <c r="W30" s="1"/>
      <c r="X30" s="1"/>
      <c r="Y30" s="1"/>
      <c r="Z30" s="1"/>
      <c r="AA30" s="1"/>
      <c r="AB30" s="1"/>
      <c r="AC30" s="1"/>
      <c r="AD30" s="1"/>
      <c r="AE30" s="1"/>
      <c r="AF30" s="1"/>
      <c r="AG30" s="1"/>
      <c r="AH30" s="1"/>
      <c r="AI30" s="1"/>
      <c r="AJ30" s="1"/>
      <c r="AK30" s="1"/>
    </row>
    <row r="31" spans="2:37" x14ac:dyDescent="0.2">
      <c r="B31" s="1"/>
      <c r="C31" s="1"/>
      <c r="D31" s="1"/>
      <c r="E31" s="1"/>
      <c r="F31" s="1"/>
      <c r="G31" s="1"/>
      <c r="H31" s="1"/>
      <c r="I31" s="1"/>
      <c r="J31" s="1"/>
      <c r="K31" s="1"/>
      <c r="L31" s="1"/>
      <c r="M31" s="1"/>
      <c r="N31" s="1"/>
      <c r="O31" s="1"/>
      <c r="Q31" s="1"/>
      <c r="R31" s="1"/>
      <c r="S31" s="1"/>
      <c r="T31" s="1"/>
      <c r="U31" s="1"/>
      <c r="V31" s="1"/>
      <c r="W31" s="1"/>
      <c r="X31" s="1"/>
      <c r="Y31" s="1"/>
      <c r="Z31" s="1"/>
      <c r="AA31" s="1"/>
      <c r="AB31" s="1"/>
      <c r="AC31" s="1"/>
      <c r="AD31" s="1"/>
      <c r="AE31" s="1"/>
      <c r="AF31" s="1"/>
      <c r="AG31" s="1"/>
      <c r="AH31" s="1"/>
      <c r="AI31" s="1"/>
      <c r="AJ31" s="1"/>
      <c r="AK31" s="1"/>
    </row>
    <row r="32" spans="2:37" x14ac:dyDescent="0.2">
      <c r="B32" s="1"/>
      <c r="C32" s="1"/>
      <c r="D32" s="1"/>
      <c r="E32" s="1"/>
      <c r="F32" s="1"/>
      <c r="G32" s="1"/>
      <c r="H32" s="1"/>
      <c r="I32" s="1"/>
      <c r="J32" s="1"/>
      <c r="K32" s="1"/>
      <c r="L32" s="1"/>
      <c r="M32" s="1"/>
      <c r="N32" s="1"/>
      <c r="O32" s="1"/>
      <c r="Q32" s="1"/>
      <c r="R32" s="1"/>
      <c r="S32" s="1"/>
      <c r="T32" s="1"/>
      <c r="U32" s="1"/>
      <c r="V32" s="1"/>
      <c r="W32" s="1"/>
      <c r="X32" s="1"/>
      <c r="Y32" s="1"/>
      <c r="Z32" s="1"/>
      <c r="AA32" s="1"/>
      <c r="AB32" s="1"/>
      <c r="AC32" s="1"/>
      <c r="AD32" s="1"/>
      <c r="AE32" s="1"/>
      <c r="AF32" s="1"/>
      <c r="AG32" s="1"/>
      <c r="AH32" s="1"/>
      <c r="AI32" s="1"/>
      <c r="AJ32" s="1"/>
      <c r="AK32" s="1"/>
    </row>
    <row r="33" spans="2:37" x14ac:dyDescent="0.2">
      <c r="B33" s="1"/>
      <c r="C33" s="1"/>
      <c r="D33" s="1"/>
      <c r="E33" s="1"/>
      <c r="F33" s="1"/>
      <c r="G33" s="1"/>
      <c r="H33" s="1"/>
      <c r="I33" s="1"/>
      <c r="J33" s="1"/>
      <c r="K33" s="1"/>
      <c r="L33" s="1"/>
      <c r="M33" s="1"/>
      <c r="N33" s="1"/>
      <c r="O33" s="1"/>
      <c r="Q33" s="1"/>
      <c r="R33" s="1"/>
      <c r="S33" s="1"/>
      <c r="T33" s="1"/>
      <c r="U33" s="1"/>
      <c r="V33" s="1"/>
      <c r="W33" s="1"/>
      <c r="X33" s="1"/>
      <c r="Y33" s="1"/>
      <c r="Z33" s="1"/>
      <c r="AA33" s="1"/>
      <c r="AB33" s="1"/>
      <c r="AC33" s="1"/>
      <c r="AD33" s="1"/>
      <c r="AE33" s="1"/>
      <c r="AF33" s="1"/>
      <c r="AG33" s="1"/>
      <c r="AH33" s="1"/>
      <c r="AI33" s="1"/>
      <c r="AJ33" s="1"/>
      <c r="AK33" s="1"/>
    </row>
    <row r="34" spans="2:37" x14ac:dyDescent="0.2">
      <c r="B34" s="1"/>
      <c r="C34" s="1"/>
      <c r="D34" s="1"/>
      <c r="E34" s="1"/>
      <c r="F34" s="1"/>
      <c r="G34" s="1"/>
      <c r="H34" s="1"/>
      <c r="I34" s="1"/>
      <c r="J34" s="1"/>
      <c r="K34" s="1"/>
      <c r="L34" s="1"/>
      <c r="M34" s="1"/>
      <c r="N34" s="1"/>
      <c r="O34" s="1"/>
      <c r="Q34" s="1"/>
      <c r="R34" s="1"/>
      <c r="S34" s="1"/>
      <c r="T34" s="1"/>
      <c r="U34" s="1"/>
      <c r="V34" s="1"/>
      <c r="W34" s="1"/>
      <c r="X34" s="1"/>
      <c r="Y34" s="1"/>
      <c r="Z34" s="1"/>
      <c r="AA34" s="1"/>
      <c r="AB34" s="1"/>
      <c r="AC34" s="1"/>
      <c r="AD34" s="1"/>
      <c r="AE34" s="1"/>
      <c r="AF34" s="1"/>
      <c r="AG34" s="1"/>
      <c r="AH34" s="1"/>
      <c r="AI34" s="1"/>
      <c r="AJ34" s="1"/>
      <c r="AK34" s="1"/>
    </row>
    <row r="35" spans="2:37" x14ac:dyDescent="0.2">
      <c r="B35" s="1"/>
      <c r="C35" s="1"/>
      <c r="D35" s="1"/>
      <c r="E35" s="1"/>
      <c r="F35" s="1"/>
      <c r="G35" s="1"/>
      <c r="H35" s="1"/>
      <c r="I35" s="1"/>
      <c r="J35" s="1"/>
      <c r="K35" s="1"/>
      <c r="L35" s="1"/>
      <c r="M35" s="1"/>
      <c r="N35" s="1"/>
      <c r="O35" s="1"/>
      <c r="Q35" s="1"/>
      <c r="R35" s="1"/>
      <c r="S35" s="1"/>
      <c r="T35" s="1"/>
      <c r="U35" s="1"/>
      <c r="V35" s="1"/>
      <c r="W35" s="1"/>
      <c r="X35" s="1"/>
      <c r="Y35" s="1"/>
      <c r="Z35" s="1"/>
      <c r="AA35" s="1"/>
      <c r="AB35" s="1"/>
      <c r="AC35" s="1"/>
      <c r="AD35" s="1"/>
      <c r="AE35" s="1"/>
      <c r="AF35" s="1"/>
      <c r="AG35" s="1"/>
      <c r="AH35" s="1"/>
      <c r="AI35" s="1"/>
      <c r="AJ35" s="1"/>
      <c r="AK35" s="1"/>
    </row>
    <row r="36" spans="2:37" x14ac:dyDescent="0.2">
      <c r="B36" s="1"/>
      <c r="C36" s="1"/>
      <c r="D36" s="1"/>
      <c r="E36" s="1"/>
      <c r="F36" s="1"/>
      <c r="G36" s="1"/>
      <c r="H36" s="1"/>
      <c r="I36" s="1"/>
      <c r="J36" s="1"/>
      <c r="K36" s="1"/>
      <c r="L36" s="1"/>
      <c r="M36" s="1"/>
      <c r="N36" s="1"/>
      <c r="O36" s="1"/>
      <c r="Q36" s="1"/>
      <c r="R36" s="1"/>
      <c r="S36" s="1"/>
      <c r="T36" s="1"/>
      <c r="U36" s="1"/>
      <c r="V36" s="1"/>
      <c r="W36" s="1"/>
      <c r="X36" s="1"/>
      <c r="Y36" s="1"/>
      <c r="Z36" s="1"/>
      <c r="AA36" s="1"/>
      <c r="AB36" s="1"/>
      <c r="AC36" s="1"/>
      <c r="AD36" s="1"/>
      <c r="AE36" s="1"/>
      <c r="AF36" s="1"/>
      <c r="AG36" s="1"/>
      <c r="AH36" s="1"/>
      <c r="AI36" s="1"/>
      <c r="AJ36" s="1"/>
      <c r="AK36" s="1"/>
    </row>
    <row r="38" spans="2:37" x14ac:dyDescent="0.2">
      <c r="R38" s="5" t="s">
        <v>238</v>
      </c>
    </row>
    <row r="40" spans="2:37" x14ac:dyDescent="0.2">
      <c r="R40" s="47" t="s">
        <v>14</v>
      </c>
      <c r="S40" t="s">
        <v>15</v>
      </c>
    </row>
    <row r="41" spans="2:37" x14ac:dyDescent="0.2">
      <c r="R41" s="47" t="s">
        <v>16</v>
      </c>
      <c r="S41" t="s">
        <v>15</v>
      </c>
    </row>
    <row r="42" spans="2:37" x14ac:dyDescent="0.2">
      <c r="R42" s="47" t="s">
        <v>17</v>
      </c>
      <c r="S42" t="s">
        <v>15</v>
      </c>
    </row>
    <row r="43" spans="2:37" x14ac:dyDescent="0.2">
      <c r="R43" s="47" t="s">
        <v>18</v>
      </c>
      <c r="S43" t="s">
        <v>19</v>
      </c>
    </row>
    <row r="44" spans="2:37" x14ac:dyDescent="0.2">
      <c r="R44" s="47" t="s">
        <v>20</v>
      </c>
      <c r="S44" t="s">
        <v>21</v>
      </c>
    </row>
    <row r="45" spans="2:37" x14ac:dyDescent="0.2">
      <c r="R45" s="47" t="s">
        <v>22</v>
      </c>
      <c r="S45" t="s">
        <v>23</v>
      </c>
    </row>
    <row r="46" spans="2:37" x14ac:dyDescent="0.2">
      <c r="R46" s="47" t="s">
        <v>24</v>
      </c>
      <c r="S46" t="s">
        <v>15</v>
      </c>
    </row>
  </sheetData>
  <mergeCells count="1">
    <mergeCell ref="C20:I25"/>
  </mergeCells>
  <hyperlinks>
    <hyperlink ref="R40" location="'Tree Species'!A1" display="Alaska Yellow Cedar" xr:uid="{17CD4329-65AA-4661-B0B5-1C2A6C3502B7}"/>
    <hyperlink ref="R41" location="'Tree Species'!B2" display="Douglas Fir" xr:uid="{7233AC3F-DE6F-41D0-A1A5-6282D943E2DF}"/>
    <hyperlink ref="R42" location="'Tree Species'!A3" display="Hemlock Fir" xr:uid="{368F48AE-5A5E-4929-9B70-CB65ADF23A4F}"/>
    <hyperlink ref="R43" location="'Tree Species'!B4" display="Ponderosa Pine" xr:uid="{2724BC1D-0307-432D-9C0D-EC2B84DF9FBF}"/>
    <hyperlink ref="R44" location="'Tree Species'!A5" display="Southern Yellow Pine" xr:uid="{9F3568E8-55DB-433B-8610-098DFFA63550}"/>
    <hyperlink ref="R45" location="'Tree Species'!B6" display="Spruce Pine Fir" xr:uid="{C62EDF19-3FC6-43C5-8CC3-F09F2BA2EA86}"/>
    <hyperlink ref="R46" location="'Tree Species'!A7" display="Western Red Cedar" xr:uid="{8FD07EEE-BC85-4E3C-86AE-9CC6ECF25AC2}"/>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620FF-945C-4D01-9D27-0ED9C2ADA581}">
  <dimension ref="A6:AS166"/>
  <sheetViews>
    <sheetView showGridLines="0" topLeftCell="Q23" zoomScale="85" zoomScaleNormal="85" workbookViewId="0">
      <selection activeCell="E28" sqref="E28"/>
    </sheetView>
  </sheetViews>
  <sheetFormatPr defaultRowHeight="12.75" x14ac:dyDescent="0.2"/>
  <cols>
    <col min="1" max="1" width="2.7109375" customWidth="1"/>
    <col min="3" max="3" width="20.7109375" customWidth="1"/>
    <col min="4" max="4" width="2.7109375" customWidth="1"/>
    <col min="5" max="5" width="20.7109375" customWidth="1"/>
    <col min="6" max="6" width="2.7109375" customWidth="1"/>
    <col min="7" max="7" width="10.85546875" bestFit="1" customWidth="1"/>
    <col min="8" max="8" width="2.7109375" customWidth="1"/>
    <col min="9" max="9" width="13.85546875" customWidth="1"/>
    <col min="10" max="10" width="20.7109375" customWidth="1"/>
    <col min="12" max="12" width="20.7109375" customWidth="1"/>
    <col min="16" max="16" width="2.5703125" customWidth="1"/>
    <col min="17" max="17" width="15.7109375" customWidth="1"/>
    <col min="18" max="18" width="2.7109375" customWidth="1"/>
    <col min="19" max="19" width="15.7109375" customWidth="1"/>
    <col min="20" max="20" width="2.7109375" hidden="1" customWidth="1"/>
    <col min="21" max="21" width="20.7109375" hidden="1" customWidth="1"/>
    <col min="22" max="22" width="2.7109375" hidden="1" customWidth="1"/>
    <col min="23" max="23" width="15.7109375" hidden="1" customWidth="1"/>
    <col min="24" max="24" width="2.7109375" customWidth="1"/>
    <col min="25" max="25" width="10.85546875" bestFit="1" customWidth="1"/>
    <col min="26" max="26" width="2.7109375" customWidth="1"/>
    <col min="27" max="27" width="9.85546875" bestFit="1" customWidth="1"/>
    <col min="28" max="28" width="2.7109375" customWidth="1"/>
    <col min="29" max="29" width="15.7109375" customWidth="1"/>
    <col min="30" max="30" width="2.7109375" hidden="1" customWidth="1"/>
    <col min="31" max="31" width="18.42578125" customWidth="1"/>
    <col min="32" max="32" width="9.5703125" hidden="1" customWidth="1"/>
    <col min="33" max="33" width="20.7109375" customWidth="1"/>
    <col min="34" max="34" width="2.7109375" hidden="1" customWidth="1"/>
    <col min="35" max="35" width="20.7109375" hidden="1" customWidth="1"/>
    <col min="36" max="36" width="2.7109375" customWidth="1"/>
    <col min="37" max="37" width="30.7109375" customWidth="1"/>
    <col min="38" max="38" width="2.7109375" customWidth="1"/>
    <col min="39" max="39" width="20.7109375" customWidth="1"/>
    <col min="40" max="40" width="2.7109375" customWidth="1"/>
    <col min="41" max="41" width="20.7109375" customWidth="1"/>
    <col min="42" max="42" width="12.7109375" customWidth="1"/>
    <col min="43" max="43" width="18.140625" bestFit="1" customWidth="1"/>
    <col min="46" max="46" width="24.28515625" bestFit="1" customWidth="1"/>
    <col min="47" max="47" width="12.42578125" customWidth="1"/>
    <col min="48" max="48" width="18" bestFit="1" customWidth="1"/>
    <col min="49" max="49" width="23" bestFit="1" customWidth="1"/>
    <col min="50" max="50" width="49.28515625" bestFit="1" customWidth="1"/>
    <col min="51" max="52" width="45.28515625" bestFit="1" customWidth="1"/>
  </cols>
  <sheetData>
    <row r="6" spans="1:45" ht="23.25" x14ac:dyDescent="0.35">
      <c r="A6" s="70" t="s">
        <v>25</v>
      </c>
      <c r="B6" s="71"/>
      <c r="C6" s="71"/>
      <c r="D6" s="71"/>
      <c r="E6" s="71"/>
      <c r="F6" s="71"/>
      <c r="G6" s="71"/>
      <c r="H6" s="71"/>
      <c r="I6" s="71"/>
      <c r="J6" s="71"/>
      <c r="K6" s="71"/>
      <c r="L6" s="71"/>
      <c r="M6" s="71"/>
      <c r="N6" s="71"/>
      <c r="P6" s="70" t="s">
        <v>26</v>
      </c>
      <c r="Q6" s="70"/>
      <c r="R6" s="70"/>
      <c r="S6" s="70"/>
      <c r="T6" s="70"/>
      <c r="U6" s="70"/>
      <c r="V6" s="70"/>
      <c r="W6" s="70"/>
      <c r="X6" s="70"/>
      <c r="Y6" s="71"/>
      <c r="Z6" s="71"/>
      <c r="AA6" s="71"/>
      <c r="AB6" s="71"/>
      <c r="AC6" s="71"/>
      <c r="AD6" s="71"/>
      <c r="AE6" s="71"/>
      <c r="AF6" s="71"/>
      <c r="AG6" s="71"/>
      <c r="AH6" s="71"/>
      <c r="AI6" s="71"/>
      <c r="AJ6" s="71"/>
      <c r="AK6" s="71"/>
      <c r="AL6" s="71"/>
      <c r="AM6" s="71"/>
      <c r="AN6" s="71"/>
      <c r="AO6" s="71"/>
      <c r="AP6" s="71"/>
    </row>
    <row r="8" spans="1:45" x14ac:dyDescent="0.2">
      <c r="A8" s="1"/>
      <c r="B8" s="1"/>
      <c r="C8" s="1"/>
      <c r="D8" s="1"/>
      <c r="E8" s="1"/>
      <c r="F8" s="1"/>
      <c r="G8" s="1"/>
      <c r="H8" s="1"/>
      <c r="I8" s="1"/>
      <c r="J8" s="1"/>
      <c r="K8" s="1"/>
      <c r="L8" s="1"/>
      <c r="M8" s="1"/>
      <c r="N8" s="1"/>
      <c r="P8" s="1"/>
      <c r="Q8" s="1"/>
      <c r="R8" s="1"/>
      <c r="S8" s="1"/>
      <c r="T8" s="1"/>
      <c r="U8" s="1"/>
      <c r="V8" s="1"/>
      <c r="W8" s="1"/>
      <c r="X8" s="1"/>
      <c r="Y8" s="1"/>
      <c r="Z8" s="1"/>
      <c r="AA8" s="1"/>
      <c r="AB8" s="1"/>
      <c r="AC8" s="1"/>
      <c r="AD8" s="1"/>
      <c r="AE8" s="1"/>
      <c r="AF8" s="1"/>
      <c r="AG8" s="1"/>
      <c r="AH8" s="1"/>
      <c r="AI8" s="1"/>
      <c r="AJ8" s="1"/>
      <c r="AK8" s="1"/>
      <c r="AL8" s="1"/>
      <c r="AM8" s="1"/>
      <c r="AN8" s="1"/>
      <c r="AO8" s="1"/>
      <c r="AP8" s="1"/>
    </row>
    <row r="9" spans="1:45" x14ac:dyDescent="0.2">
      <c r="A9" s="1"/>
      <c r="B9" s="1" t="s">
        <v>27</v>
      </c>
      <c r="C9" s="1"/>
      <c r="D9" s="1"/>
      <c r="E9" s="1"/>
      <c r="F9" s="1"/>
      <c r="G9" s="1"/>
      <c r="H9" s="1"/>
      <c r="I9" s="1"/>
      <c r="J9" s="1"/>
      <c r="K9" s="1"/>
      <c r="L9" s="1"/>
      <c r="M9" s="1"/>
      <c r="N9" s="1"/>
      <c r="P9" s="1"/>
      <c r="Q9" s="1"/>
      <c r="R9" s="1"/>
      <c r="S9" s="1"/>
      <c r="T9" s="1"/>
      <c r="U9" s="1"/>
      <c r="V9" s="1"/>
      <c r="W9" s="1"/>
      <c r="X9" s="1"/>
      <c r="Y9" s="1"/>
      <c r="Z9" s="1"/>
      <c r="AA9" s="1"/>
      <c r="AB9" s="1"/>
      <c r="AC9" s="1"/>
      <c r="AD9" s="1"/>
      <c r="AE9" s="1"/>
      <c r="AF9" s="1"/>
      <c r="AG9" s="1"/>
      <c r="AH9" s="1"/>
      <c r="AI9" s="1"/>
      <c r="AJ9" s="1"/>
      <c r="AK9" s="1"/>
      <c r="AL9" s="1"/>
      <c r="AM9" s="1"/>
      <c r="AN9" s="1"/>
      <c r="AO9" s="1"/>
      <c r="AP9" s="1"/>
    </row>
    <row r="10" spans="1:45" ht="40.15" customHeight="1" x14ac:dyDescent="0.2">
      <c r="A10" s="1"/>
      <c r="B10" s="72" t="s">
        <v>233</v>
      </c>
      <c r="C10" s="72"/>
      <c r="D10" s="72"/>
      <c r="E10" s="72"/>
      <c r="F10" s="72"/>
      <c r="G10" s="72"/>
      <c r="H10" s="72"/>
      <c r="I10" s="1"/>
      <c r="J10" s="1"/>
      <c r="K10" s="1"/>
      <c r="L10" s="1"/>
      <c r="M10" s="1"/>
      <c r="N10" s="1"/>
      <c r="P10" s="1"/>
      <c r="Q10" s="73" t="s">
        <v>234</v>
      </c>
      <c r="R10" s="73"/>
      <c r="S10" s="73"/>
      <c r="T10" s="73"/>
      <c r="U10" s="73"/>
      <c r="V10" s="73"/>
      <c r="W10" s="73"/>
      <c r="X10" s="73"/>
      <c r="Y10" s="73"/>
      <c r="Z10" s="39"/>
      <c r="AA10" s="39"/>
      <c r="AB10" s="39"/>
      <c r="AC10" s="39"/>
      <c r="AD10" s="1"/>
      <c r="AE10" s="1"/>
      <c r="AF10" s="1"/>
      <c r="AG10" s="12" t="s">
        <v>28</v>
      </c>
      <c r="AH10" s="1"/>
      <c r="AI10" s="1"/>
      <c r="AJ10" s="1"/>
      <c r="AK10" s="12" t="s">
        <v>29</v>
      </c>
      <c r="AL10" s="12"/>
      <c r="AM10" s="12"/>
      <c r="AN10" s="12"/>
      <c r="AO10" s="12"/>
      <c r="AP10" s="1"/>
    </row>
    <row r="11" spans="1:45" ht="13.15" customHeight="1" x14ac:dyDescent="0.2">
      <c r="A11" s="1"/>
      <c r="B11" s="1"/>
      <c r="C11" s="1"/>
      <c r="D11" s="1"/>
      <c r="E11" s="1"/>
      <c r="F11" s="1"/>
      <c r="G11" s="1"/>
      <c r="H11" s="1"/>
      <c r="I11" s="1"/>
      <c r="J11" s="1"/>
      <c r="K11" s="1"/>
      <c r="L11" s="1"/>
      <c r="M11" s="1"/>
      <c r="N11" s="1"/>
      <c r="P11" s="1"/>
      <c r="Q11" s="1"/>
      <c r="R11" s="1"/>
      <c r="S11" s="1"/>
      <c r="T11" s="1"/>
      <c r="U11" s="1"/>
      <c r="V11" s="1"/>
      <c r="W11" s="1"/>
      <c r="X11" s="1"/>
      <c r="Y11" s="2"/>
      <c r="Z11" s="1"/>
      <c r="AA11" s="1"/>
      <c r="AB11" s="1"/>
      <c r="AC11" s="1"/>
      <c r="AD11" s="1"/>
      <c r="AE11" s="1"/>
      <c r="AF11" s="1"/>
      <c r="AG11" s="1"/>
      <c r="AH11" s="1"/>
      <c r="AI11" s="1"/>
      <c r="AJ11" s="1"/>
      <c r="AK11" s="1"/>
      <c r="AL11" s="1"/>
      <c r="AM11" s="1"/>
      <c r="AN11" s="1"/>
      <c r="AO11" s="1"/>
      <c r="AP11" s="1"/>
    </row>
    <row r="12" spans="1:45" ht="26.45" customHeight="1" x14ac:dyDescent="0.2">
      <c r="A12" s="1"/>
      <c r="B12" s="1"/>
      <c r="C12" s="9" t="s">
        <v>30</v>
      </c>
      <c r="D12" s="9"/>
      <c r="E12" s="9" t="s">
        <v>31</v>
      </c>
      <c r="F12" s="9"/>
      <c r="G12" s="9" t="s">
        <v>32</v>
      </c>
      <c r="H12" s="9"/>
      <c r="I12" s="45" t="s">
        <v>33</v>
      </c>
      <c r="J12" s="9" t="s">
        <v>34</v>
      </c>
      <c r="K12" s="9"/>
      <c r="L12" s="9" t="s">
        <v>35</v>
      </c>
      <c r="M12" s="1"/>
      <c r="N12" s="1"/>
      <c r="P12" s="1"/>
      <c r="Q12" s="9" t="s">
        <v>36</v>
      </c>
      <c r="R12" s="9"/>
      <c r="S12" s="34" t="s">
        <v>37</v>
      </c>
      <c r="T12" s="9"/>
      <c r="U12" s="34" t="s">
        <v>38</v>
      </c>
      <c r="V12" s="34"/>
      <c r="W12" s="9" t="s">
        <v>39</v>
      </c>
      <c r="X12" s="9"/>
      <c r="Y12" s="9" t="s">
        <v>40</v>
      </c>
      <c r="Z12" s="9"/>
      <c r="AA12" s="9" t="s">
        <v>41</v>
      </c>
      <c r="AB12" s="9"/>
      <c r="AC12" s="9" t="s">
        <v>42</v>
      </c>
      <c r="AD12" s="9"/>
      <c r="AE12" s="9"/>
      <c r="AF12" s="1"/>
      <c r="AG12" s="1" t="s">
        <v>43</v>
      </c>
      <c r="AH12" s="1"/>
      <c r="AI12" s="1" t="s">
        <v>44</v>
      </c>
      <c r="AJ12" s="1"/>
      <c r="AK12" s="1" t="s">
        <v>45</v>
      </c>
      <c r="AL12" s="1"/>
      <c r="AM12" s="1" t="s">
        <v>46</v>
      </c>
      <c r="AN12" s="1"/>
      <c r="AO12" s="2" t="s">
        <v>47</v>
      </c>
      <c r="AP12" s="1" t="s">
        <v>245</v>
      </c>
    </row>
    <row r="13" spans="1:45" x14ac:dyDescent="0.2">
      <c r="A13" s="1"/>
      <c r="B13" s="1"/>
      <c r="C13" s="1"/>
      <c r="D13" s="1"/>
      <c r="E13" s="1"/>
      <c r="F13" s="1"/>
      <c r="G13" s="1"/>
      <c r="H13" s="1"/>
      <c r="I13" s="3"/>
      <c r="J13" s="1"/>
      <c r="K13" s="1"/>
      <c r="L13" s="1"/>
      <c r="M13" s="1"/>
      <c r="N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row>
    <row r="14" spans="1:45" x14ac:dyDescent="0.2">
      <c r="A14" s="1"/>
      <c r="B14" s="49">
        <v>1</v>
      </c>
      <c r="C14" s="50" t="s">
        <v>1</v>
      </c>
      <c r="D14" s="51"/>
      <c r="E14" s="52" t="s">
        <v>24</v>
      </c>
      <c r="F14" s="51"/>
      <c r="G14" s="53">
        <v>9860</v>
      </c>
      <c r="H14" s="51"/>
      <c r="I14" s="54" t="str">
        <f>IF(ISBLANK(C14)," ","ft3")</f>
        <v>ft3</v>
      </c>
      <c r="J14" s="50" t="s">
        <v>9</v>
      </c>
      <c r="K14" s="1"/>
      <c r="L14" s="46" t="s">
        <v>13</v>
      </c>
      <c r="M14" s="1"/>
      <c r="N14" s="1"/>
      <c r="P14" s="1"/>
      <c r="Q14" s="60">
        <f>IF(ISBLANK(E14)," ",VLOOKUP(E14,Dataset!$A$1:$G$8,7,FALSE))</f>
        <v>370</v>
      </c>
      <c r="R14" s="1"/>
      <c r="S14" s="61">
        <f>IFERROR(G14*0.0283168*Q14*(1/(1-Dataset!$B$20))*(1/Dataset!$B$21)*(1/Dataset!$B$22)," ")</f>
        <v>294632.01357575756</v>
      </c>
      <c r="T14" s="1"/>
      <c r="U14" s="35">
        <f>PI()*((VLOOKUP(E14,Dataset!$A$1:$H$8,3,FALSE)/2)^2*VLOOKUP(E14,Dataset!$A$1:$H$8,2,FALSE)*VLOOKUP(E14,Dataset!$A$1:$H$8,7,FALSE))</f>
        <v>143845.67362624264</v>
      </c>
      <c r="V14" s="34"/>
      <c r="W14" s="11">
        <f>ROUNDUP(S14/U14,0)</f>
        <v>3</v>
      </c>
      <c r="X14" s="1"/>
      <c r="Y14" s="62">
        <f>IFERROR(0.0673*(VLOOKUP(E14,Dataset!$A$35:$H$42,7,FALSE)*(VLOOKUP(E14,Dataset!$A$35:$H$42,3,FALSE))^2*VLOOKUP(E14,Dataset!$A$35:$H$42,2,FALSE))^0.976*W14*VLOOKUP(E14,Dataset!$A$35:$H$42,6,FALSE),"")</f>
        <v>803.46797220537724</v>
      </c>
      <c r="Z14" s="1"/>
      <c r="AA14" s="62">
        <f>Y14*0.26</f>
        <v>208.90167277339808</v>
      </c>
      <c r="AB14" s="1"/>
      <c r="AC14" s="61">
        <f>IFERROR(VLOOKUP(E14,Dataset!$A$1:$H$8,6,FALSE)*S14,"")</f>
        <v>81023.803733333334</v>
      </c>
      <c r="AD14" s="1"/>
      <c r="AE14" s="1"/>
      <c r="AF14" s="1"/>
      <c r="AG14" s="64">
        <f>IFERROR(G14*Dataset!$B$29*-1,"")</f>
        <v>-272888.2573336527</v>
      </c>
      <c r="AH14" s="1"/>
      <c r="AI14" s="14"/>
      <c r="AJ14" s="1"/>
      <c r="AK14" s="65" cm="1">
        <f t="array" ref="AK14">IFERROR(_xlfn.IFS(J14=Info!$C$11,0.725*0.5*3.67*(Y14+AA14),
J14=Info!$C$12,0.07*0.725*0.5*3.67*Y14+(AC14*0.93*Dataset!$B$28)+0.07*0.725*0.5*3.67*AA14+(AA14*0.93*Dataset!$B$28),
J14=Info!$C$13,(0.0768*AC14+9.9109)*0.725*0.5*3.67)+0.26*(0.0768*AC14+9.9109)*(0.725*0.5*3.67),"")</f>
        <v>10447.433775667498</v>
      </c>
      <c r="AL14" s="1"/>
      <c r="AM14" s="66">
        <f>IFERROR(AG14+AK14,"")</f>
        <v>-262440.82355798519</v>
      </c>
      <c r="AN14" s="1"/>
      <c r="AO14" s="67">
        <f>IFERROR((ABS(AG14)+AM14)/ABS(AG14),"")</f>
        <v>3.8284658628215465E-2</v>
      </c>
      <c r="AP14" s="48">
        <f>AK14/G14</f>
        <v>1.0595774620352432</v>
      </c>
      <c r="AQ14">
        <f>AG14/G14</f>
        <v>-27.676293847226439</v>
      </c>
      <c r="AS14" s="25">
        <f>IFERROR((ABS(AQ14)-AP14)/ABS(AQ14),"")</f>
        <v>0.9617153413717846</v>
      </c>
    </row>
    <row r="15" spans="1:45" x14ac:dyDescent="0.2">
      <c r="A15" s="1"/>
      <c r="B15" s="49">
        <v>2</v>
      </c>
      <c r="C15" s="50" t="s">
        <v>3</v>
      </c>
      <c r="D15" s="51"/>
      <c r="E15" s="52" t="s">
        <v>16</v>
      </c>
      <c r="F15" s="51"/>
      <c r="G15" s="53">
        <v>46980</v>
      </c>
      <c r="H15" s="51"/>
      <c r="I15" s="54" t="str">
        <f>IF(ISBLANK(C15)," ","ft3")</f>
        <v>ft3</v>
      </c>
      <c r="J15" s="50" t="s">
        <v>9</v>
      </c>
      <c r="K15" s="1"/>
      <c r="L15" s="46" t="s">
        <v>13</v>
      </c>
      <c r="M15" s="1"/>
      <c r="N15" s="1"/>
      <c r="P15" s="1"/>
      <c r="Q15" s="60">
        <f>IF(ISBLANK(E15)," ",VLOOKUP(E15,Dataset!$A$1:$G$8,7,FALSE))</f>
        <v>510</v>
      </c>
      <c r="R15" s="1"/>
      <c r="S15" s="61">
        <f>IFERROR(G15*0.0283168*Q15*(1/(1-Dataset!$B$20))*(1/Dataset!$B$21)*(1/Dataset!$B$22)," ")</f>
        <v>1935015.6567272723</v>
      </c>
      <c r="T15" s="1"/>
      <c r="U15" s="35">
        <f>PI()*((VLOOKUP(E15,Dataset!$A$1:$H$8,3,FALSE)/2)^2*VLOOKUP(E15,Dataset!$A$1:$H$8,2,FALSE)*VLOOKUP(E15,Dataset!$A$1:$H$8,7,FALSE))</f>
        <v>82801.828560806287</v>
      </c>
      <c r="V15" s="34"/>
      <c r="W15" s="11">
        <f t="shared" ref="W15:W16" si="0">ROUNDUP(S15/U15,0)</f>
        <v>24</v>
      </c>
      <c r="X15" s="1"/>
      <c r="Y15" s="62">
        <f>IFERROR(0.0673*(VLOOKUP(E15,Dataset!$A$35:$H$42,7,FALSE)*(VLOOKUP(E15,Dataset!$A$35:$H$42,3,FALSE))^2*VLOOKUP(E15,Dataset!$A$35:$H$42,2,FALSE))^0.976*W15*VLOOKUP(E15,Dataset!$A$35:$H$42,6,FALSE),"")</f>
        <v>274668.00255462911</v>
      </c>
      <c r="Z15" s="1"/>
      <c r="AA15" s="62">
        <f t="shared" ref="AA15:AA16" si="1">Y15*0.26</f>
        <v>71413.680664203566</v>
      </c>
      <c r="AB15" s="1"/>
      <c r="AC15" s="61">
        <f>IFERROR(VLOOKUP(E15,Dataset!$A$1:$H$8,6,FALSE)*S15,"")</f>
        <v>435378.52276363625</v>
      </c>
      <c r="AD15" s="1"/>
      <c r="AE15" s="1"/>
      <c r="AF15" s="1"/>
      <c r="AG15" s="64">
        <f>IFERROR(G15*Dataset!$B$29*-1,"")</f>
        <v>-1300232.2849426982</v>
      </c>
      <c r="AH15" s="1"/>
      <c r="AI15" s="14"/>
      <c r="AJ15" s="1"/>
      <c r="AK15" s="65" cm="1">
        <f t="array" ref="AK15">IFERROR(_xlfn.IFS(J15=Info!$C$11,0.725*0.5*3.67*(Y15+AA15),
J15=Info!$C$12,0.07*0.725*0.5*3.67*Y15+(AC15*0.93*Dataset!$B$28)+0.07*0.725*0.5*3.67*AA15+(AA15*0.93*Dataset!$B$28),
J15=Info!$C$13,(0.0768*AC15+9.9109)*0.725*0.5*3.67),"")</f>
        <v>44497.02794421195</v>
      </c>
      <c r="AL15" s="1"/>
      <c r="AM15" s="66">
        <f t="shared" ref="AM15:AM23" si="2">IFERROR(AG15+AK15,"")</f>
        <v>-1255735.2569984864</v>
      </c>
      <c r="AN15" s="1"/>
      <c r="AO15" s="67">
        <f t="shared" ref="AO15:AO16" si="3">IFERROR((ABS(AG15)-AK15)/ABS(AG15),"")</f>
        <v>0.96577763184354948</v>
      </c>
      <c r="AP15" s="1"/>
      <c r="AQ15">
        <f>AM14/G14</f>
        <v>-26.616716385191197</v>
      </c>
    </row>
    <row r="16" spans="1:45" x14ac:dyDescent="0.2">
      <c r="A16" s="1"/>
      <c r="B16" s="49">
        <v>3</v>
      </c>
      <c r="C16" s="50" t="s">
        <v>4</v>
      </c>
      <c r="D16" s="51"/>
      <c r="E16" s="52" t="s">
        <v>22</v>
      </c>
      <c r="F16" s="51"/>
      <c r="G16" s="53">
        <v>58400</v>
      </c>
      <c r="H16" s="51"/>
      <c r="I16" s="54" t="str">
        <f>IF(ISBLANK(C16)," ","ft3")</f>
        <v>ft3</v>
      </c>
      <c r="J16" s="50" t="s">
        <v>9</v>
      </c>
      <c r="K16" s="1"/>
      <c r="L16" s="46" t="s">
        <v>13</v>
      </c>
      <c r="M16" s="1"/>
      <c r="N16" s="1"/>
      <c r="P16" s="1"/>
      <c r="Q16" s="60">
        <f>IF(ISBLANK(E16)," ",VLOOKUP(E16,Dataset!$A$1:$G$8,7,FALSE))</f>
        <v>525</v>
      </c>
      <c r="R16" s="1"/>
      <c r="S16" s="61">
        <f>IFERROR(G16*0.0283168*Q16*(1/(1-Dataset!$B$20))*(1/Dataset!$B$21)*(1/Dataset!$B$22)," ")</f>
        <v>2476130.0192513368</v>
      </c>
      <c r="T16" s="1"/>
      <c r="U16" s="35">
        <f>PI()*((VLOOKUP(E16,Dataset!$A$1:$H$8,3,FALSE)/2)^2*VLOOKUP(E16,Dataset!$A$1:$H$8,2,FALSE)*VLOOKUP(E16,Dataset!$A$1:$H$8,7,FALSE))</f>
        <v>6597.3445725385673</v>
      </c>
      <c r="V16" s="34"/>
      <c r="W16" s="11">
        <f t="shared" si="0"/>
        <v>376</v>
      </c>
      <c r="X16" s="1"/>
      <c r="Y16" s="62">
        <f>IFERROR(0.0673*(VLOOKUP(E16,Dataset!$A$35:$H$42,7,FALSE)*(VLOOKUP(E16,Dataset!$A$35:$H$42,3,FALSE))^2*VLOOKUP(E16,Dataset!$A$35:$H$42,2,FALSE))^0.976*W16*VLOOKUP(E16,Dataset!$A$35:$H$42,6,FALSE),"")</f>
        <v>364319.15876452159</v>
      </c>
      <c r="Z16" s="1"/>
      <c r="AA16" s="62">
        <f t="shared" si="1"/>
        <v>94722.981278775624</v>
      </c>
      <c r="AB16" s="1"/>
      <c r="AC16" s="61">
        <f>IFERROR(VLOOKUP(E16,Dataset!$A$1:$H$8,6,FALSE)*S16,"")</f>
        <v>557129.25433155079</v>
      </c>
      <c r="AD16" s="1"/>
      <c r="AE16" s="1"/>
      <c r="AF16" s="1"/>
      <c r="AG16" s="64">
        <f>IFERROR(G16*Dataset!$B$29*-1,"")</f>
        <v>-1616295.5606780241</v>
      </c>
      <c r="AH16" s="1"/>
      <c r="AI16" s="14"/>
      <c r="AJ16" s="1"/>
      <c r="AK16" s="65" cm="1">
        <f t="array" ref="AK16">IFERROR(_xlfn.IFS(J16=Info!$C$11,0.725*0.5*3.67*(Y16+AA16),
J16=Info!$C$12,0.07*0.725*0.5*3.67*Y16+(AC16*0.93*Dataset!$B$28)+0.07*0.725*0.5*3.67*AA16+(AA16*0.93*Dataset!$B$28),
J16=Info!$C$13,(0.0768*AC16+9.9109)*0.725*0.5*3.67),"")</f>
        <v>56936.641090554171</v>
      </c>
      <c r="AL16" s="1"/>
      <c r="AM16" s="66">
        <f t="shared" si="2"/>
        <v>-1559358.9195874699</v>
      </c>
      <c r="AN16" s="1"/>
      <c r="AO16" s="67">
        <f t="shared" si="3"/>
        <v>0.96477337284359699</v>
      </c>
      <c r="AP16" s="1"/>
    </row>
    <row r="17" spans="1:42" x14ac:dyDescent="0.2">
      <c r="A17" s="1"/>
      <c r="B17" s="49">
        <v>4</v>
      </c>
      <c r="C17" s="50"/>
      <c r="D17" s="51"/>
      <c r="E17" s="52"/>
      <c r="F17" s="51"/>
      <c r="G17" s="53"/>
      <c r="H17" s="51"/>
      <c r="I17" s="54"/>
      <c r="J17" s="50"/>
      <c r="K17" s="1"/>
      <c r="L17" s="46"/>
      <c r="M17" s="1"/>
      <c r="N17" s="1"/>
      <c r="P17" s="1"/>
      <c r="Q17" s="60" t="str">
        <f>IF(ISBLANK(E17)," ",VLOOKUP(E17,Dataset!$A$1:$G$8,7,FALSE))</f>
        <v xml:space="preserve"> </v>
      </c>
      <c r="R17" s="1"/>
      <c r="S17" s="61" t="str">
        <f>IFERROR(G17*0.0283168*Q17*(1/(1-Dataset!B23))*(1/Dataset!B24)*(1/Dataset!B25)," ")</f>
        <v xml:space="preserve"> </v>
      </c>
      <c r="T17" s="1"/>
      <c r="U17" s="7"/>
      <c r="V17" s="34"/>
      <c r="W17" s="7"/>
      <c r="X17" s="1"/>
      <c r="Y17" s="62" t="str">
        <f>IFERROR(0.0673*(VLOOKUP(E17,Dataset!$A$35:$H$42,7,FALSE)*(VLOOKUP(E17,Dataset!$A$35:$H$42,3,FALSE))^2*VLOOKUP(E17,Dataset!$A$35:$H$42,2,FALSE))^0.976*W17*VLOOKUP(E17,Dataset!$A$35:$H$42,6,FALSE),"")</f>
        <v/>
      </c>
      <c r="Z17" s="1"/>
      <c r="AA17" s="63"/>
      <c r="AB17" s="1"/>
      <c r="AC17" s="61" t="str">
        <f>IFERROR(VLOOKUP(E17,Dataset!$A$1:$H$8,6,FALSE)*S17,"")</f>
        <v/>
      </c>
      <c r="AD17" s="1"/>
      <c r="AE17" s="1"/>
      <c r="AF17" s="1"/>
      <c r="AG17" s="64"/>
      <c r="AH17" s="1"/>
      <c r="AI17" s="14"/>
      <c r="AJ17" s="1"/>
      <c r="AK17" s="65" t="str" cm="1">
        <f t="array" ref="AK17">IFERROR(_xlfn.IFS(J17=Info!$C$11,0.725*0.5*3.67*(Y17+AA17),
J17=Info!$C$12,0.07*0.725*0.5*3.67*Y17+(AC17*0.93*Dataset!$B$28)+0.07*0.725*0.5*3.67*AA17+(AA17*0.93*Dataset!$B$28),
J17=Info!$C$13,(0.0768*AC17+9.9109)*0.725*0.5*3.67),"")</f>
        <v/>
      </c>
      <c r="AL17" s="1"/>
      <c r="AM17" s="66" t="str">
        <f t="shared" si="2"/>
        <v/>
      </c>
      <c r="AN17" s="1"/>
      <c r="AO17" s="67" t="str">
        <f t="shared" ref="AO17:AO23" si="4">IFERROR((AG17-AK17)/AG17,"")</f>
        <v/>
      </c>
      <c r="AP17" s="1"/>
    </row>
    <row r="18" spans="1:42" x14ac:dyDescent="0.2">
      <c r="A18" s="1"/>
      <c r="B18" s="49">
        <v>5</v>
      </c>
      <c r="C18" s="50"/>
      <c r="D18" s="51"/>
      <c r="E18" s="52"/>
      <c r="F18" s="51"/>
      <c r="G18" s="53"/>
      <c r="H18" s="51"/>
      <c r="I18" s="54"/>
      <c r="J18" s="50"/>
      <c r="K18" s="1"/>
      <c r="L18" s="46"/>
      <c r="M18" s="1"/>
      <c r="N18" s="1"/>
      <c r="P18" s="1"/>
      <c r="Q18" s="60" t="str">
        <f>IF(ISBLANK(E18)," ",VLOOKUP(E18,Dataset!$A$1:$G$8,7,FALSE))</f>
        <v xml:space="preserve"> </v>
      </c>
      <c r="R18" s="1"/>
      <c r="S18" s="61" t="str">
        <f>IFERROR(G18*0.0283168*Q18*(1/(1-Dataset!B24))*(1/Dataset!B25)*(1/Dataset!B26)," ")</f>
        <v xml:space="preserve"> </v>
      </c>
      <c r="T18" s="1"/>
      <c r="U18" s="7"/>
      <c r="V18" s="34"/>
      <c r="W18" s="7"/>
      <c r="X18" s="1"/>
      <c r="Y18" s="62" t="str">
        <f>IFERROR(0.0673*(VLOOKUP(E18,Dataset!$A$35:$H$42,7,FALSE)*(VLOOKUP(E18,Dataset!$A$35:$H$42,3,FALSE))^2*VLOOKUP(E18,Dataset!$A$35:$H$42,2,FALSE))^0.976*W18*VLOOKUP(E18,Dataset!$A$35:$H$42,6,FALSE),"")</f>
        <v/>
      </c>
      <c r="Z18" s="1"/>
      <c r="AA18" s="63"/>
      <c r="AB18" s="1"/>
      <c r="AC18" s="61" t="str">
        <f>IFERROR(VLOOKUP(E18,Dataset!$A$1:$H$8,6,FALSE)*S18,"")</f>
        <v/>
      </c>
      <c r="AD18" s="1"/>
      <c r="AE18" s="1"/>
      <c r="AF18" s="1"/>
      <c r="AG18" s="64"/>
      <c r="AH18" s="1"/>
      <c r="AI18" s="14"/>
      <c r="AJ18" s="1"/>
      <c r="AK18" s="65" t="str" cm="1">
        <f t="array" ref="AK18">IFERROR(_xlfn.IFS(J18=Info!$C$11,0.725*0.5*3.67*(Y18+AA18),
J18=Info!$C$12,0.07*0.725*0.5*3.67*Y18+(AC18*0.93*Dataset!$B$28)+0.07*0.725*0.5*3.67*AA18+(AA18*0.93*Dataset!$B$28),
J18=Info!$C$13,(0.0768*AC18+9.9109)*0.725*0.5*3.67),"")</f>
        <v/>
      </c>
      <c r="AL18" s="1"/>
      <c r="AM18" s="66" t="str">
        <f t="shared" si="2"/>
        <v/>
      </c>
      <c r="AN18" s="1"/>
      <c r="AO18" s="67" t="str">
        <f t="shared" si="4"/>
        <v/>
      </c>
      <c r="AP18" s="1"/>
    </row>
    <row r="19" spans="1:42" x14ac:dyDescent="0.2">
      <c r="A19" s="1"/>
      <c r="B19" s="49">
        <v>6</v>
      </c>
      <c r="C19" s="50"/>
      <c r="D19" s="51"/>
      <c r="E19" s="52"/>
      <c r="F19" s="51"/>
      <c r="G19" s="53"/>
      <c r="H19" s="51"/>
      <c r="I19" s="54"/>
      <c r="J19" s="50"/>
      <c r="K19" s="1"/>
      <c r="L19" s="46"/>
      <c r="M19" s="1"/>
      <c r="N19" s="1"/>
      <c r="P19" s="1"/>
      <c r="Q19" s="60" t="str">
        <f>IF(ISBLANK(E19)," ",VLOOKUP(E19,Dataset!$A$1:$G$8,7,FALSE))</f>
        <v xml:space="preserve"> </v>
      </c>
      <c r="R19" s="1"/>
      <c r="S19" s="61" t="str">
        <f>IFERROR(G19*0.0283168*Q19*(1/(1-Dataset!B25))*(1/Dataset!B26)*(1/Dataset!B27)," ")</f>
        <v xml:space="preserve"> </v>
      </c>
      <c r="T19" s="1"/>
      <c r="U19" s="7"/>
      <c r="V19" s="34"/>
      <c r="W19" s="7"/>
      <c r="X19" s="1"/>
      <c r="Y19" s="62" t="str">
        <f>IFERROR(0.0673*(VLOOKUP(E19,Dataset!$A$35:$H$42,7,FALSE)*(VLOOKUP(E19,Dataset!$A$35:$H$42,3,FALSE))^2*VLOOKUP(E19,Dataset!$A$35:$H$42,2,FALSE))^0.976*W19*VLOOKUP(E19,Dataset!$A$35:$H$42,6,FALSE),"")</f>
        <v/>
      </c>
      <c r="Z19" s="1"/>
      <c r="AA19" s="63"/>
      <c r="AB19" s="1"/>
      <c r="AC19" s="61" t="str">
        <f>IFERROR(VLOOKUP(E19,Dataset!$A$1:$H$8,6,FALSE)*S19,"")</f>
        <v/>
      </c>
      <c r="AD19" s="1"/>
      <c r="AE19" s="1"/>
      <c r="AF19" s="1"/>
      <c r="AG19" s="64"/>
      <c r="AH19" s="1"/>
      <c r="AI19" s="14"/>
      <c r="AJ19" s="1"/>
      <c r="AK19" s="65" t="str" cm="1">
        <f t="array" ref="AK19">IFERROR(_xlfn.IFS(J19=Info!$C$11,0.725*0.5*3.67*(Y19+AA19),
J19=Info!$C$12,0.07*0.725*0.5*3.67*Y19+(AC19*0.93*Dataset!$B$28)+0.07*0.725*0.5*3.67*AA19+(AA19*0.93*Dataset!$B$28),
J19=Info!$C$13,(0.0768*AC19+9.9109)*0.725*0.5*3.67),"")</f>
        <v/>
      </c>
      <c r="AL19" s="1"/>
      <c r="AM19" s="66" t="str">
        <f t="shared" si="2"/>
        <v/>
      </c>
      <c r="AN19" s="1"/>
      <c r="AO19" s="67" t="str">
        <f t="shared" si="4"/>
        <v/>
      </c>
      <c r="AP19" s="1"/>
    </row>
    <row r="20" spans="1:42" x14ac:dyDescent="0.2">
      <c r="A20" s="1"/>
      <c r="B20" s="49">
        <v>7</v>
      </c>
      <c r="C20" s="50"/>
      <c r="D20" s="51"/>
      <c r="E20" s="52"/>
      <c r="F20" s="51"/>
      <c r="G20" s="53"/>
      <c r="H20" s="51"/>
      <c r="I20" s="54"/>
      <c r="J20" s="50"/>
      <c r="K20" s="1"/>
      <c r="L20" s="46"/>
      <c r="M20" s="1"/>
      <c r="N20" s="1"/>
      <c r="P20" s="1"/>
      <c r="Q20" s="60" t="str">
        <f>IF(ISBLANK(E20)," ",VLOOKUP(E20,Dataset!$A$1:$G$8,7,FALSE))</f>
        <v xml:space="preserve"> </v>
      </c>
      <c r="R20" s="1"/>
      <c r="S20" s="61" t="str">
        <f>IFERROR(G20*0.0283168*Q20*(1/(1-Dataset!B26))*(1/Dataset!B27)*(1/Dataset!B28)," ")</f>
        <v xml:space="preserve"> </v>
      </c>
      <c r="T20" s="1"/>
      <c r="U20" s="7"/>
      <c r="V20" s="34"/>
      <c r="W20" s="7"/>
      <c r="X20" s="1"/>
      <c r="Y20" s="62" t="str">
        <f>IFERROR(0.0673*(VLOOKUP(E20,Dataset!$A$35:$H$42,7,FALSE)*(VLOOKUP(E20,Dataset!$A$35:$H$42,3,FALSE))^2*VLOOKUP(E20,Dataset!$A$35:$H$42,2,FALSE))^0.976*W20*VLOOKUP(E20,Dataset!$A$35:$H$42,6,FALSE),"")</f>
        <v/>
      </c>
      <c r="Z20" s="1"/>
      <c r="AA20" s="63"/>
      <c r="AB20" s="1"/>
      <c r="AC20" s="61" t="str">
        <f>IFERROR(VLOOKUP(E20,Dataset!$A$1:$H$8,6,FALSE)*S20,"")</f>
        <v/>
      </c>
      <c r="AD20" s="1"/>
      <c r="AE20" s="1"/>
      <c r="AF20" s="1"/>
      <c r="AG20" s="64"/>
      <c r="AH20" s="1"/>
      <c r="AI20" s="14"/>
      <c r="AJ20" s="1"/>
      <c r="AK20" s="65" t="str" cm="1">
        <f t="array" ref="AK20">IFERROR(_xlfn.IFS(J20=Info!$C$11,0.725*0.5*3.67*(Y20+AA20),
J20=Info!$C$12,0.07*0.725*0.5*3.67*Y20+(AC20*0.93*Dataset!$B$28)+0.07*0.725*0.5*3.67*AA20+(AA20*0.93*Dataset!$B$28),
J20=Info!$C$13,(0.0768*AC20+9.9109)*0.725*0.5*3.67),"")</f>
        <v/>
      </c>
      <c r="AL20" s="1"/>
      <c r="AM20" s="66" t="str">
        <f t="shared" si="2"/>
        <v/>
      </c>
      <c r="AN20" s="1"/>
      <c r="AO20" s="67" t="str">
        <f t="shared" si="4"/>
        <v/>
      </c>
      <c r="AP20" s="1"/>
    </row>
    <row r="21" spans="1:42" x14ac:dyDescent="0.2">
      <c r="A21" s="1"/>
      <c r="B21" s="49">
        <v>8</v>
      </c>
      <c r="C21" s="50"/>
      <c r="D21" s="51"/>
      <c r="E21" s="52"/>
      <c r="F21" s="51"/>
      <c r="G21" s="53"/>
      <c r="H21" s="51"/>
      <c r="I21" s="54"/>
      <c r="J21" s="50"/>
      <c r="K21" s="1"/>
      <c r="L21" s="46"/>
      <c r="M21" s="1"/>
      <c r="N21" s="1"/>
      <c r="P21" s="1"/>
      <c r="Q21" s="60" t="str">
        <f>IF(ISBLANK(E21)," ",VLOOKUP(E21,Dataset!$A$1:$G$8,7,FALSE))</f>
        <v xml:space="preserve"> </v>
      </c>
      <c r="R21" s="1"/>
      <c r="S21" s="61" t="str">
        <f>IFERROR(G21*0.0283168*Q21*(1/(1-Dataset!B27))*(1/Dataset!B28)*(1/Dataset!B29)," ")</f>
        <v xml:space="preserve"> </v>
      </c>
      <c r="T21" s="1"/>
      <c r="U21" s="7"/>
      <c r="V21" s="34"/>
      <c r="W21" s="7"/>
      <c r="X21" s="1"/>
      <c r="Y21" s="62" t="str">
        <f>IFERROR(0.0673*(VLOOKUP(E21,Dataset!$A$35:$H$42,7,FALSE)*(VLOOKUP(E21,Dataset!$A$35:$H$42,3,FALSE))^2*VLOOKUP(E21,Dataset!$A$35:$H$42,2,FALSE))^0.976*W21*VLOOKUP(E21,Dataset!$A$35:$H$42,6,FALSE),"")</f>
        <v/>
      </c>
      <c r="Z21" s="1"/>
      <c r="AA21" s="63"/>
      <c r="AB21" s="1"/>
      <c r="AC21" s="61" t="str">
        <f>IFERROR(VLOOKUP(E21,Dataset!$A$1:$H$8,6,FALSE)*S21,"")</f>
        <v/>
      </c>
      <c r="AD21" s="1"/>
      <c r="AE21" s="1"/>
      <c r="AF21" s="1"/>
      <c r="AG21" s="64"/>
      <c r="AH21" s="1"/>
      <c r="AI21" s="14"/>
      <c r="AJ21" s="1"/>
      <c r="AK21" s="65" t="str" cm="1">
        <f t="array" ref="AK21">IFERROR(_xlfn.IFS(J21=Info!$C$11,0.725*0.5*3.67*(Y21+AA21),
J21=Info!$C$12,0.07*0.725*0.5*3.67*Y21+(AC21*0.93*Dataset!$B$28)+0.07*0.725*0.5*3.67*AA21+(AA21*0.93*Dataset!$B$28),
J21=Info!$C$13,(0.0768*AC21+9.9109)*0.725*0.5*3.67),"")</f>
        <v/>
      </c>
      <c r="AL21" s="1"/>
      <c r="AM21" s="66" t="str">
        <f t="shared" si="2"/>
        <v/>
      </c>
      <c r="AN21" s="1"/>
      <c r="AO21" s="67" t="str">
        <f t="shared" si="4"/>
        <v/>
      </c>
      <c r="AP21" s="1"/>
    </row>
    <row r="22" spans="1:42" x14ac:dyDescent="0.2">
      <c r="A22" s="1"/>
      <c r="B22" s="49">
        <v>9</v>
      </c>
      <c r="C22" s="50"/>
      <c r="D22" s="51"/>
      <c r="E22" s="52"/>
      <c r="F22" s="51"/>
      <c r="G22" s="53"/>
      <c r="H22" s="51"/>
      <c r="I22" s="54"/>
      <c r="J22" s="50"/>
      <c r="K22" s="1"/>
      <c r="L22" s="46"/>
      <c r="M22" s="1"/>
      <c r="N22" s="1"/>
      <c r="P22" s="1"/>
      <c r="Q22" s="60" t="str">
        <f>IF(ISBLANK(E22)," ",VLOOKUP(E22,Dataset!$A$1:$G$8,7,FALSE))</f>
        <v xml:space="preserve"> </v>
      </c>
      <c r="R22" s="1"/>
      <c r="S22" s="61" t="str">
        <f>IFERROR(G22*0.0283168*Q22*(1/(1-Dataset!B28))*(1/Dataset!B29)*(1/Dataset!B30)," ")</f>
        <v xml:space="preserve"> </v>
      </c>
      <c r="T22" s="1"/>
      <c r="U22" s="7"/>
      <c r="V22" s="34"/>
      <c r="W22" s="7"/>
      <c r="X22" s="1"/>
      <c r="Y22" s="62" t="str">
        <f>IFERROR(0.0673*(VLOOKUP(E22,Dataset!$A$35:$H$42,7,FALSE)*(VLOOKUP(E22,Dataset!$A$35:$H$42,3,FALSE))^2*VLOOKUP(E22,Dataset!$A$35:$H$42,2,FALSE))^0.976*W22*VLOOKUP(E22,Dataset!$A$35:$H$42,6,FALSE),"")</f>
        <v/>
      </c>
      <c r="Z22" s="1"/>
      <c r="AA22" s="63"/>
      <c r="AB22" s="1"/>
      <c r="AC22" s="61" t="str">
        <f>IFERROR(VLOOKUP(E22,Dataset!$A$1:$H$8,6,FALSE)*S22,"")</f>
        <v/>
      </c>
      <c r="AD22" s="1"/>
      <c r="AE22" s="1"/>
      <c r="AF22" s="1"/>
      <c r="AG22" s="64"/>
      <c r="AH22" s="1"/>
      <c r="AI22" s="14"/>
      <c r="AJ22" s="1"/>
      <c r="AK22" s="65" t="str" cm="1">
        <f t="array" ref="AK22">IFERROR(_xlfn.IFS(J22=Info!$C$11,0.725*0.5*3.67*(Y22+AA22),
J22=Info!$C$12,0.07*0.725*0.5*3.67*Y22+(AC22*0.93*Dataset!$B$28)+0.07*0.725*0.5*3.67*AA22+(AA22*0.93*Dataset!$B$28),
J22=Info!$C$13,(0.0768*AC22+9.9109)*0.725*0.5*3.67),"")</f>
        <v/>
      </c>
      <c r="AL22" s="1"/>
      <c r="AM22" s="66" t="str">
        <f t="shared" si="2"/>
        <v/>
      </c>
      <c r="AN22" s="1"/>
      <c r="AO22" s="67" t="str">
        <f t="shared" si="4"/>
        <v/>
      </c>
      <c r="AP22" s="1"/>
    </row>
    <row r="23" spans="1:42" x14ac:dyDescent="0.2">
      <c r="A23" s="1"/>
      <c r="B23" s="49">
        <v>10</v>
      </c>
      <c r="C23" s="50"/>
      <c r="D23" s="51"/>
      <c r="E23" s="52"/>
      <c r="F23" s="51"/>
      <c r="G23" s="53"/>
      <c r="H23" s="51"/>
      <c r="I23" s="54"/>
      <c r="J23" s="50"/>
      <c r="K23" s="1"/>
      <c r="L23" s="46"/>
      <c r="M23" s="1"/>
      <c r="N23" s="1"/>
      <c r="P23" s="1"/>
      <c r="Q23" s="60" t="str">
        <f>IF(ISBLANK(E23)," ",VLOOKUP(E23,Dataset!$A$1:$G$8,7,FALSE))</f>
        <v xml:space="preserve"> </v>
      </c>
      <c r="R23" s="1"/>
      <c r="S23" s="61" t="str">
        <f>IFERROR(G23*0.0283168*Q23*(1/(1-Dataset!B29))*(1/Dataset!B30)*(1/Dataset!B31)," ")</f>
        <v xml:space="preserve"> </v>
      </c>
      <c r="T23" s="1"/>
      <c r="U23" s="7"/>
      <c r="V23" s="34"/>
      <c r="W23" s="7"/>
      <c r="X23" s="1"/>
      <c r="Y23" s="62" t="str">
        <f>IFERROR(0.0673*(VLOOKUP(E23,Dataset!$A$35:$H$42,7,FALSE)*(VLOOKUP(E23,Dataset!$A$35:$H$42,3,FALSE))^2*VLOOKUP(E23,Dataset!$A$35:$H$42,2,FALSE))^0.976*W23*VLOOKUP(E23,Dataset!$A$35:$H$42,6,FALSE),"")</f>
        <v/>
      </c>
      <c r="Z23" s="1"/>
      <c r="AA23" s="63"/>
      <c r="AB23" s="1"/>
      <c r="AC23" s="61" t="str">
        <f>IFERROR(VLOOKUP(E23,Dataset!$A$1:$H$8,6,FALSE)*S23,"")</f>
        <v/>
      </c>
      <c r="AD23" s="1"/>
      <c r="AE23" s="1"/>
      <c r="AF23" s="1"/>
      <c r="AG23" s="64"/>
      <c r="AH23" s="1"/>
      <c r="AI23" s="14"/>
      <c r="AJ23" s="1"/>
      <c r="AK23" s="65" t="str" cm="1">
        <f t="array" ref="AK23">IFERROR(_xlfn.IFS(J23=Info!$C$11,0.725*0.5*3.67*(Y23+AA23),
J23=Info!$C$12,0.07*0.725*0.5*3.67*Y23+(AC23*0.93*Dataset!$B$28)+0.07*0.725*0.5*3.67*AA23+(AA23*0.93*Dataset!$B$28),
J23=Info!$C$13,(0.0768*AC23+9.9109)*0.725*0.5*3.67),"")</f>
        <v/>
      </c>
      <c r="AL23" s="1"/>
      <c r="AM23" s="66" t="str">
        <f t="shared" si="2"/>
        <v/>
      </c>
      <c r="AN23" s="1"/>
      <c r="AO23" s="67" t="str">
        <f t="shared" si="4"/>
        <v/>
      </c>
      <c r="AP23" s="1"/>
    </row>
    <row r="24" spans="1:42" x14ac:dyDescent="0.2">
      <c r="A24" s="1"/>
      <c r="B24" s="1"/>
      <c r="C24" s="1"/>
      <c r="D24" s="1"/>
      <c r="E24" s="1"/>
      <c r="F24" s="1"/>
      <c r="G24" s="36">
        <f>SUM(G14:G23)</f>
        <v>115240</v>
      </c>
      <c r="H24" s="1"/>
      <c r="I24" s="1"/>
      <c r="J24" s="1"/>
      <c r="K24" s="1"/>
      <c r="L24" s="1"/>
      <c r="M24" s="1"/>
      <c r="N24" s="1"/>
      <c r="P24" s="1"/>
      <c r="Q24" s="2">
        <f>AVERAGE(Q14:Q23)</f>
        <v>468.33333333333331</v>
      </c>
      <c r="R24" s="1"/>
      <c r="S24" s="1"/>
      <c r="T24" s="1"/>
      <c r="U24" s="1"/>
      <c r="V24" s="34"/>
      <c r="W24" s="1"/>
      <c r="X24" s="1"/>
      <c r="Y24" s="1"/>
      <c r="Z24" s="1"/>
      <c r="AA24" s="1"/>
      <c r="AB24" s="1"/>
      <c r="AC24" s="1"/>
      <c r="AD24" s="1"/>
      <c r="AE24" s="1"/>
      <c r="AF24" s="1"/>
      <c r="AG24" s="1"/>
      <c r="AH24" s="1"/>
      <c r="AI24" s="1"/>
      <c r="AJ24" s="1"/>
      <c r="AK24" s="1"/>
      <c r="AL24" s="1"/>
      <c r="AM24" s="1"/>
      <c r="AN24" s="1"/>
      <c r="AO24" s="1"/>
      <c r="AP24" s="1"/>
    </row>
    <row r="25" spans="1:42" x14ac:dyDescent="0.2">
      <c r="A25" s="1"/>
      <c r="B25" s="1"/>
      <c r="C25" s="1"/>
      <c r="D25" s="1"/>
      <c r="E25" s="1"/>
      <c r="F25" s="1"/>
      <c r="G25" s="1"/>
      <c r="H25" s="1"/>
      <c r="I25" s="1"/>
      <c r="J25" s="1"/>
      <c r="K25" s="1"/>
      <c r="L25" s="1"/>
      <c r="M25" s="1"/>
      <c r="N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row>
    <row r="26" spans="1:42" x14ac:dyDescent="0.2">
      <c r="A26" s="1"/>
      <c r="B26" s="1"/>
      <c r="C26" s="1"/>
      <c r="D26" s="1"/>
      <c r="E26" s="1"/>
      <c r="F26" s="1"/>
      <c r="G26" s="1"/>
      <c r="H26" s="1"/>
      <c r="I26" s="1"/>
      <c r="J26" s="1"/>
      <c r="K26" s="1"/>
      <c r="L26" s="1"/>
      <c r="M26" s="1"/>
      <c r="N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row>
    <row r="27" spans="1:42" x14ac:dyDescent="0.2">
      <c r="A27" s="1"/>
      <c r="B27" s="1"/>
      <c r="C27" s="1"/>
      <c r="D27" s="1"/>
      <c r="E27" s="1"/>
      <c r="F27" s="1"/>
      <c r="G27" s="1"/>
      <c r="H27" s="1"/>
      <c r="I27" s="1"/>
      <c r="J27" s="1"/>
      <c r="K27" s="1"/>
      <c r="L27" s="1"/>
      <c r="M27" s="1"/>
      <c r="N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row>
    <row r="28" spans="1:42" x14ac:dyDescent="0.2">
      <c r="A28" s="1"/>
      <c r="B28" s="1"/>
      <c r="C28" s="1"/>
      <c r="D28" s="1"/>
      <c r="E28" s="1"/>
      <c r="F28" s="1"/>
      <c r="G28" s="1"/>
      <c r="H28" s="1"/>
      <c r="I28" s="1"/>
      <c r="J28" s="1"/>
      <c r="K28" s="1"/>
      <c r="L28" s="1"/>
      <c r="M28" s="1"/>
      <c r="N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row>
    <row r="34" spans="1:37" ht="23.25" x14ac:dyDescent="0.35">
      <c r="A34" s="70" t="s">
        <v>48</v>
      </c>
      <c r="B34" s="71"/>
      <c r="C34" s="71"/>
      <c r="D34" s="71"/>
      <c r="E34" s="71"/>
      <c r="F34" s="71"/>
      <c r="G34" s="71"/>
      <c r="H34" s="71"/>
      <c r="I34" s="71"/>
      <c r="J34" s="71"/>
      <c r="K34" s="71"/>
      <c r="L34" s="71"/>
      <c r="M34" s="71"/>
      <c r="N34" s="71"/>
      <c r="X34" s="16"/>
      <c r="Y34" s="16"/>
      <c r="Z34" s="16"/>
      <c r="AA34" s="16"/>
      <c r="AB34" s="16"/>
      <c r="AC34" s="16"/>
      <c r="AD34" s="16"/>
      <c r="AE34" s="16"/>
      <c r="AF34" s="16"/>
      <c r="AG34" s="16"/>
      <c r="AK34" s="25"/>
    </row>
    <row r="35" spans="1:37" ht="15" customHeight="1" x14ac:dyDescent="0.35">
      <c r="X35" s="16"/>
      <c r="Y35" s="16"/>
      <c r="Z35" s="16"/>
      <c r="AA35" s="16"/>
      <c r="AB35" s="16"/>
      <c r="AC35" s="16"/>
      <c r="AD35" s="16"/>
      <c r="AE35" s="16"/>
      <c r="AF35" s="16"/>
      <c r="AG35" s="16"/>
      <c r="AI35" s="37" t="s">
        <v>49</v>
      </c>
      <c r="AK35" s="27"/>
    </row>
    <row r="36" spans="1:37" x14ac:dyDescent="0.2">
      <c r="X36" s="16"/>
      <c r="Y36" s="16"/>
      <c r="Z36" s="16"/>
      <c r="AA36" s="16"/>
      <c r="AB36" s="16"/>
      <c r="AC36" s="16"/>
      <c r="AD36" s="16"/>
      <c r="AE36" s="16"/>
      <c r="AF36" s="16"/>
      <c r="AG36" s="16"/>
    </row>
    <row r="37" spans="1:37" x14ac:dyDescent="0.2">
      <c r="X37" s="16"/>
      <c r="Y37" s="16"/>
      <c r="Z37" s="16"/>
      <c r="AA37" s="16"/>
      <c r="AB37" s="16"/>
      <c r="AC37" s="16"/>
      <c r="AD37" s="16"/>
      <c r="AE37" s="16"/>
      <c r="AF37" s="16"/>
      <c r="AG37" s="16"/>
    </row>
    <row r="38" spans="1:37" x14ac:dyDescent="0.2">
      <c r="X38" s="16"/>
      <c r="Y38" s="16"/>
      <c r="Z38" s="16"/>
      <c r="AA38" s="16"/>
      <c r="AB38" s="16"/>
      <c r="AC38" s="16"/>
      <c r="AD38" s="16"/>
      <c r="AE38" s="16"/>
      <c r="AF38" s="16"/>
      <c r="AG38" s="16"/>
      <c r="AI38" s="25"/>
    </row>
    <row r="39" spans="1:37" x14ac:dyDescent="0.2">
      <c r="S39" s="26"/>
      <c r="T39" s="26"/>
      <c r="U39" s="26"/>
      <c r="V39" s="26"/>
      <c r="W39" s="26"/>
      <c r="X39" s="16"/>
      <c r="Y39" s="16"/>
      <c r="Z39" s="16"/>
      <c r="AA39" s="16"/>
      <c r="AB39" s="16"/>
      <c r="AD39" s="16"/>
      <c r="AE39" s="16"/>
      <c r="AF39" s="16"/>
      <c r="AG39" s="16"/>
    </row>
    <row r="40" spans="1:37" x14ac:dyDescent="0.2">
      <c r="X40" s="16"/>
      <c r="Y40" s="16"/>
      <c r="Z40" s="16"/>
      <c r="AA40" s="16"/>
      <c r="AB40" s="16"/>
      <c r="AC40" s="16"/>
      <c r="AD40" s="16"/>
      <c r="AE40" s="16"/>
      <c r="AF40" s="16"/>
      <c r="AG40" s="16"/>
    </row>
    <row r="42" spans="1:37" x14ac:dyDescent="0.2">
      <c r="AC42" s="16"/>
    </row>
    <row r="44" spans="1:37" x14ac:dyDescent="0.2">
      <c r="AC44" s="16"/>
    </row>
    <row r="87" ht="12.95" customHeight="1" x14ac:dyDescent="0.2"/>
    <row r="90" ht="12.6" customHeight="1" x14ac:dyDescent="0.2"/>
    <row r="122" spans="1:31" ht="15.75" x14ac:dyDescent="0.25">
      <c r="A122" s="69" t="s">
        <v>236</v>
      </c>
      <c r="B122" s="69"/>
      <c r="C122" s="69"/>
    </row>
    <row r="125" spans="1:31" x14ac:dyDescent="0.2">
      <c r="C125" s="40" t="s">
        <v>241</v>
      </c>
      <c r="E125" s="42" t="s">
        <v>235</v>
      </c>
      <c r="AC125" s="40" t="s">
        <v>50</v>
      </c>
      <c r="AD125" s="5"/>
      <c r="AE125" s="42" t="s">
        <v>51</v>
      </c>
    </row>
    <row r="126" spans="1:31" x14ac:dyDescent="0.2">
      <c r="AC126" t="s">
        <v>52</v>
      </c>
      <c r="AE126" s="43">
        <v>-27.68</v>
      </c>
    </row>
    <row r="127" spans="1:31" x14ac:dyDescent="0.2">
      <c r="C127" t="s">
        <v>14</v>
      </c>
      <c r="E127" s="20">
        <v>-15.6</v>
      </c>
      <c r="AC127" t="s">
        <v>9</v>
      </c>
      <c r="AE127" s="43">
        <v>-27.397142857142853</v>
      </c>
    </row>
    <row r="128" spans="1:31" x14ac:dyDescent="0.2">
      <c r="C128" t="s">
        <v>16</v>
      </c>
      <c r="E128" s="20">
        <v>-17.95</v>
      </c>
      <c r="AC128" t="s">
        <v>241</v>
      </c>
      <c r="AE128" s="43">
        <v>-18.924285714285713</v>
      </c>
    </row>
    <row r="129" spans="3:31" x14ac:dyDescent="0.2">
      <c r="C129" t="s">
        <v>17</v>
      </c>
      <c r="E129" s="20">
        <v>-18.62</v>
      </c>
      <c r="AC129" t="s">
        <v>7</v>
      </c>
      <c r="AE129" s="43">
        <v>-9.9585714285714282</v>
      </c>
    </row>
    <row r="130" spans="3:31" x14ac:dyDescent="0.2">
      <c r="C130" t="s">
        <v>18</v>
      </c>
      <c r="E130" s="20">
        <v>-20.65</v>
      </c>
    </row>
    <row r="131" spans="3:31" x14ac:dyDescent="0.2">
      <c r="C131" t="s">
        <v>20</v>
      </c>
      <c r="E131" s="20">
        <v>-14.98</v>
      </c>
    </row>
    <row r="132" spans="3:31" x14ac:dyDescent="0.2">
      <c r="C132" t="s">
        <v>22</v>
      </c>
      <c r="E132" s="20">
        <v>-17.13</v>
      </c>
    </row>
    <row r="133" spans="3:31" x14ac:dyDescent="0.2">
      <c r="C133" t="s">
        <v>24</v>
      </c>
      <c r="E133" s="20">
        <v>-27.54</v>
      </c>
    </row>
    <row r="137" spans="3:31" x14ac:dyDescent="0.2">
      <c r="E137" s="41">
        <f>AVERAGE(E127:E133)</f>
        <v>-18.924285714285713</v>
      </c>
    </row>
    <row r="140" spans="3:31" x14ac:dyDescent="0.2">
      <c r="C140" s="40" t="s">
        <v>7</v>
      </c>
      <c r="E140" s="42" t="s">
        <v>235</v>
      </c>
      <c r="AC140" s="5"/>
    </row>
    <row r="142" spans="3:31" x14ac:dyDescent="0.2">
      <c r="C142" t="s">
        <v>14</v>
      </c>
      <c r="E142" s="38">
        <v>-5.95</v>
      </c>
    </row>
    <row r="143" spans="3:31" x14ac:dyDescent="0.2">
      <c r="C143" t="s">
        <v>16</v>
      </c>
      <c r="E143" s="38">
        <v>-9.51</v>
      </c>
    </row>
    <row r="144" spans="3:31" x14ac:dyDescent="0.2">
      <c r="C144" t="s">
        <v>17</v>
      </c>
      <c r="E144" s="38">
        <v>-11.05</v>
      </c>
    </row>
    <row r="145" spans="3:5" x14ac:dyDescent="0.2">
      <c r="C145" t="s">
        <v>18</v>
      </c>
      <c r="E145" s="38">
        <v>-15.1</v>
      </c>
    </row>
    <row r="146" spans="3:5" x14ac:dyDescent="0.2">
      <c r="C146" t="s">
        <v>20</v>
      </c>
      <c r="E146" s="38">
        <v>-5</v>
      </c>
    </row>
    <row r="147" spans="3:5" x14ac:dyDescent="0.2">
      <c r="C147" t="s">
        <v>22</v>
      </c>
      <c r="E147" s="38">
        <v>-8.8000000000000007</v>
      </c>
    </row>
    <row r="148" spans="3:5" x14ac:dyDescent="0.2">
      <c r="C148" t="s">
        <v>24</v>
      </c>
      <c r="E148" s="38">
        <v>-14.3</v>
      </c>
    </row>
    <row r="152" spans="3:5" x14ac:dyDescent="0.2">
      <c r="E152" s="41">
        <f>AVERAGE(E142:E148)</f>
        <v>-9.9585714285714282</v>
      </c>
    </row>
    <row r="154" spans="3:5" x14ac:dyDescent="0.2">
      <c r="C154" s="40" t="s">
        <v>9</v>
      </c>
      <c r="E154" s="42" t="s">
        <v>235</v>
      </c>
    </row>
    <row r="156" spans="3:5" x14ac:dyDescent="0.2">
      <c r="C156" t="s">
        <v>14</v>
      </c>
      <c r="E156" s="20">
        <v>-26.83</v>
      </c>
    </row>
    <row r="157" spans="3:5" x14ac:dyDescent="0.2">
      <c r="C157" t="s">
        <v>16</v>
      </c>
      <c r="E157" s="20">
        <v>-29.96</v>
      </c>
    </row>
    <row r="158" spans="3:5" x14ac:dyDescent="0.2">
      <c r="C158" t="s">
        <v>17</v>
      </c>
      <c r="E158" s="20">
        <v>-27.03</v>
      </c>
    </row>
    <row r="159" spans="3:5" x14ac:dyDescent="0.2">
      <c r="C159" t="s">
        <v>18</v>
      </c>
      <c r="E159" s="20">
        <v>-27.19</v>
      </c>
    </row>
    <row r="160" spans="3:5" x14ac:dyDescent="0.2">
      <c r="C160" t="s">
        <v>20</v>
      </c>
      <c r="E160" s="20">
        <v>-26.79</v>
      </c>
    </row>
    <row r="161" spans="3:5" x14ac:dyDescent="0.2">
      <c r="C161" t="s">
        <v>22</v>
      </c>
      <c r="E161" s="20">
        <v>-26.94</v>
      </c>
    </row>
    <row r="162" spans="3:5" x14ac:dyDescent="0.2">
      <c r="C162" t="s">
        <v>24</v>
      </c>
      <c r="E162" s="20">
        <v>-27.04</v>
      </c>
    </row>
    <row r="166" spans="3:5" x14ac:dyDescent="0.2">
      <c r="E166" s="41">
        <f>AVERAGE(E156:E162)</f>
        <v>-27.397142857142853</v>
      </c>
    </row>
  </sheetData>
  <sheetProtection algorithmName="SHA-512" hashValue="RGl3ITTRgx+fztv4GPEF8oVw1E8jpTHjS92JEqv65t667nCl2TPucOe362qn4h9xtUwDQCg1geOWwl6JzaWR/A==" saltValue="xblX+vV7GhDpZWVPVWP4Eg==" spinCount="100000" sheet="1" objects="1" scenarios="1"/>
  <sortState xmlns:xlrd2="http://schemas.microsoft.com/office/spreadsheetml/2017/richdata2" ref="AC127:AE129">
    <sortCondition ref="AC127:AC129"/>
  </sortState>
  <mergeCells count="6">
    <mergeCell ref="A122:C122"/>
    <mergeCell ref="P6:AP6"/>
    <mergeCell ref="A6:N6"/>
    <mergeCell ref="A34:N34"/>
    <mergeCell ref="B10:H10"/>
    <mergeCell ref="Q10:Y10"/>
  </mergeCells>
  <pageMargins left="0.7" right="0.7" top="0.75" bottom="0.75" header="0.3" footer="0.3"/>
  <pageSetup orientation="portrait" horizontalDpi="1200" verticalDpi="1200"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FA7B8050-D362-4B0A-AC19-DC7112D0F2B5}">
          <x14:formula1>
            <xm:f>Info!$C$3:$C$6</xm:f>
          </x14:formula1>
          <xm:sqref>C14:C23</xm:sqref>
        </x14:dataValidation>
        <x14:dataValidation type="list" allowBlank="1" showInputMessage="1" showErrorMessage="1" xr:uid="{6E2BF57A-B38D-4B1E-884C-60199C8B8AF9}">
          <x14:formula1>
            <xm:f>Info!$C$11:$C$14</xm:f>
          </x14:formula1>
          <xm:sqref>J14:J23</xm:sqref>
        </x14:dataValidation>
        <x14:dataValidation type="list" allowBlank="1" showInputMessage="1" showErrorMessage="1" xr:uid="{0E791907-7A2A-4496-8D1D-41C3A4B71B4C}">
          <x14:formula1>
            <xm:f>Info!$C$18</xm:f>
          </x14:formula1>
          <xm:sqref>L14:L23</xm:sqref>
        </x14:dataValidation>
        <x14:dataValidation type="list" allowBlank="1" showInputMessage="1" showErrorMessage="1" xr:uid="{ADD27AA7-7E60-4B07-971F-6188210B3F77}">
          <x14:formula1>
            <xm:f>Dataset!$A$2:$A$8</xm:f>
          </x14:formula1>
          <xm:sqref>E14:E23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910C8-4EB6-40DB-9115-4A417BD8A893}">
  <dimension ref="A6:AK31"/>
  <sheetViews>
    <sheetView showGridLines="0" workbookViewId="0">
      <selection activeCell="H12" sqref="H12"/>
    </sheetView>
  </sheetViews>
  <sheetFormatPr defaultRowHeight="12.75" x14ac:dyDescent="0.2"/>
  <cols>
    <col min="1" max="1" width="2.7109375" customWidth="1"/>
    <col min="2" max="2" width="30.7109375" customWidth="1"/>
    <col min="3" max="3" width="11" customWidth="1"/>
    <col min="4" max="5" width="15.7109375" hidden="1" customWidth="1"/>
    <col min="6" max="7" width="2.7109375" customWidth="1"/>
    <col min="8" max="8" width="20.5703125" customWidth="1"/>
    <col min="9" max="9" width="2.7109375" customWidth="1"/>
    <col min="10" max="11" width="15.7109375" hidden="1" customWidth="1"/>
    <col min="12" max="12" width="2.7109375" hidden="1" customWidth="1"/>
    <col min="13" max="14" width="15.7109375" hidden="1" customWidth="1"/>
    <col min="15" max="15" width="2.7109375" customWidth="1"/>
    <col min="16" max="16" width="15.7109375" customWidth="1"/>
    <col min="19" max="19" width="2.7109375" customWidth="1"/>
    <col min="20" max="20" width="15.7109375" customWidth="1"/>
    <col min="21" max="21" width="2.7109375" customWidth="1"/>
    <col min="22" max="22" width="15.7109375" customWidth="1"/>
    <col min="23" max="23" width="2.7109375" customWidth="1"/>
    <col min="24" max="24" width="15.7109375" customWidth="1"/>
    <col min="28" max="28" width="19.28515625" customWidth="1"/>
    <col min="29" max="29" width="20.42578125" customWidth="1"/>
    <col min="30" max="30" width="17.5703125" customWidth="1"/>
  </cols>
  <sheetData>
    <row r="6" spans="1:37" ht="23.25" x14ac:dyDescent="0.35">
      <c r="A6" s="70" t="s">
        <v>53</v>
      </c>
      <c r="B6" s="71"/>
      <c r="C6" s="71"/>
      <c r="D6" s="71"/>
      <c r="E6" s="71"/>
      <c r="F6" s="71"/>
      <c r="G6" s="71"/>
      <c r="H6" s="71"/>
      <c r="I6" s="71"/>
      <c r="J6" s="71"/>
      <c r="K6" s="71"/>
      <c r="L6" s="71"/>
      <c r="M6" s="71"/>
      <c r="N6" s="71"/>
      <c r="O6" s="71"/>
      <c r="P6" s="71"/>
      <c r="Q6" s="71"/>
      <c r="S6" s="70" t="s">
        <v>54</v>
      </c>
      <c r="T6" s="71"/>
      <c r="U6" s="71"/>
      <c r="V6" s="71"/>
      <c r="W6" s="71"/>
      <c r="X6" s="71"/>
      <c r="Y6" s="71"/>
      <c r="Z6" s="71"/>
      <c r="AA6" s="71"/>
      <c r="AB6" s="71"/>
      <c r="AC6" s="71"/>
      <c r="AD6" s="71"/>
      <c r="AE6" s="71"/>
      <c r="AF6" s="71"/>
      <c r="AG6" s="71"/>
      <c r="AH6" s="71"/>
      <c r="AI6" s="71"/>
      <c r="AJ6" s="71"/>
      <c r="AK6" s="71"/>
    </row>
    <row r="8" spans="1:37" x14ac:dyDescent="0.2">
      <c r="A8" s="28"/>
      <c r="B8" s="28"/>
      <c r="C8" s="28"/>
      <c r="D8" s="28"/>
      <c r="E8" s="28"/>
      <c r="F8" s="28"/>
      <c r="G8" s="28"/>
      <c r="H8" s="28"/>
      <c r="I8" s="28"/>
      <c r="J8" s="28"/>
      <c r="K8" s="28"/>
      <c r="L8" s="28"/>
      <c r="M8" s="28"/>
      <c r="N8" s="28"/>
      <c r="O8" s="28"/>
      <c r="P8" s="28"/>
      <c r="Q8" s="28"/>
      <c r="S8" s="28"/>
      <c r="T8" s="28"/>
      <c r="U8" s="28"/>
      <c r="V8" s="28"/>
      <c r="W8" s="28"/>
      <c r="X8" s="28"/>
      <c r="Y8" s="28"/>
      <c r="Z8" s="28"/>
      <c r="AA8" s="28"/>
      <c r="AB8" s="28"/>
      <c r="AC8" s="28"/>
      <c r="AD8" s="28"/>
      <c r="AE8" s="28"/>
      <c r="AF8" s="28"/>
      <c r="AG8" s="28"/>
      <c r="AH8" s="28"/>
      <c r="AI8" s="28"/>
      <c r="AJ8" s="28"/>
      <c r="AK8" s="28"/>
    </row>
    <row r="9" spans="1:37" ht="22.5" x14ac:dyDescent="0.2">
      <c r="A9" s="28"/>
      <c r="B9" s="29" t="s">
        <v>55</v>
      </c>
      <c r="C9" s="29"/>
      <c r="D9" s="29"/>
      <c r="E9" s="29"/>
      <c r="F9" s="29"/>
      <c r="G9" s="28"/>
      <c r="H9" s="29" t="s">
        <v>56</v>
      </c>
      <c r="I9" s="28"/>
      <c r="J9" s="28"/>
      <c r="K9" s="28"/>
      <c r="L9" s="28"/>
      <c r="M9" s="28"/>
      <c r="N9" s="28"/>
      <c r="O9" s="28"/>
      <c r="P9" s="28"/>
      <c r="Q9" s="28"/>
      <c r="S9" s="28"/>
      <c r="T9" s="28"/>
      <c r="U9" s="28"/>
      <c r="V9" s="28"/>
      <c r="W9" s="28"/>
      <c r="X9" s="44" t="s">
        <v>240</v>
      </c>
      <c r="Y9" s="28"/>
      <c r="Z9" s="28"/>
      <c r="AA9" s="28"/>
      <c r="AB9" s="28"/>
      <c r="AC9" s="28"/>
      <c r="AD9" s="28"/>
      <c r="AE9" s="28"/>
      <c r="AF9" s="28"/>
      <c r="AG9" s="28"/>
      <c r="AH9" s="28"/>
      <c r="AI9" s="28"/>
      <c r="AJ9" s="28"/>
      <c r="AK9" s="28"/>
    </row>
    <row r="10" spans="1:37" x14ac:dyDescent="0.2">
      <c r="A10" s="28"/>
      <c r="B10" s="28"/>
      <c r="C10" s="28"/>
      <c r="D10" s="28"/>
      <c r="E10" s="28"/>
      <c r="F10" s="28"/>
      <c r="G10" s="28"/>
      <c r="H10" s="28"/>
      <c r="I10" s="28"/>
      <c r="J10" s="28"/>
      <c r="K10" s="28"/>
      <c r="L10" s="28"/>
      <c r="M10" s="28"/>
      <c r="N10" s="28"/>
      <c r="O10" s="28"/>
      <c r="P10" s="28"/>
      <c r="Q10" s="28"/>
      <c r="S10" s="28"/>
      <c r="T10" s="28"/>
      <c r="U10" s="28"/>
      <c r="V10" s="28"/>
      <c r="W10" s="28"/>
      <c r="X10" s="28"/>
      <c r="Y10" s="28"/>
      <c r="Z10" s="28"/>
      <c r="AA10" s="28"/>
      <c r="AB10" s="28"/>
      <c r="AC10" s="28"/>
      <c r="AD10" s="28"/>
      <c r="AE10" s="28"/>
      <c r="AF10" s="28"/>
      <c r="AG10" s="28"/>
      <c r="AH10" s="28"/>
      <c r="AI10" s="28"/>
      <c r="AJ10" s="28"/>
      <c r="AK10" s="28"/>
    </row>
    <row r="11" spans="1:37" x14ac:dyDescent="0.2">
      <c r="A11" s="28"/>
      <c r="B11" s="28"/>
      <c r="C11" s="28"/>
      <c r="D11" s="28"/>
      <c r="E11" s="28"/>
      <c r="F11" s="28"/>
      <c r="G11" s="28"/>
      <c r="H11" s="28"/>
      <c r="I11" s="28"/>
      <c r="J11" s="28"/>
      <c r="K11" s="28"/>
      <c r="L11" s="28"/>
      <c r="M11" s="28"/>
      <c r="N11" s="28"/>
      <c r="O11" s="28"/>
      <c r="P11" s="28"/>
      <c r="Q11" s="28"/>
      <c r="S11" s="28"/>
      <c r="T11" s="28"/>
      <c r="U11" s="28"/>
      <c r="V11" s="28"/>
      <c r="W11" s="28"/>
      <c r="X11" s="28"/>
      <c r="Y11" s="28"/>
      <c r="Z11" s="28"/>
      <c r="AA11" s="28"/>
      <c r="AB11" s="28"/>
      <c r="AC11" s="28"/>
      <c r="AD11" s="28"/>
      <c r="AE11" s="28"/>
      <c r="AF11" s="28"/>
      <c r="AG11" s="28"/>
      <c r="AH11" s="28"/>
      <c r="AI11" s="28"/>
      <c r="AJ11" s="28"/>
      <c r="AK11" s="28"/>
    </row>
    <row r="12" spans="1:37" x14ac:dyDescent="0.2">
      <c r="A12" s="28"/>
      <c r="B12" s="28" t="s">
        <v>57</v>
      </c>
      <c r="C12" s="28"/>
      <c r="D12" s="33" t="s">
        <v>58</v>
      </c>
      <c r="E12" s="33" t="s">
        <v>59</v>
      </c>
      <c r="F12" s="28"/>
      <c r="G12" s="28"/>
      <c r="H12" s="28" t="s">
        <v>60</v>
      </c>
      <c r="I12" s="28"/>
      <c r="J12" s="32" t="s">
        <v>58</v>
      </c>
      <c r="K12" s="32" t="s">
        <v>59</v>
      </c>
      <c r="L12" s="28"/>
      <c r="M12" s="32" t="s">
        <v>61</v>
      </c>
      <c r="N12" s="32" t="s">
        <v>62</v>
      </c>
      <c r="O12" s="28"/>
      <c r="P12" s="28" t="s">
        <v>63</v>
      </c>
      <c r="Q12" s="28"/>
      <c r="S12" s="28"/>
      <c r="T12" s="28" t="s">
        <v>237</v>
      </c>
      <c r="U12" s="28"/>
      <c r="V12" s="28" t="s">
        <v>64</v>
      </c>
      <c r="W12" s="28"/>
      <c r="X12" s="28" t="s">
        <v>65</v>
      </c>
      <c r="Y12" s="28"/>
      <c r="Z12" s="28"/>
      <c r="AA12" s="28"/>
      <c r="AB12" s="28"/>
      <c r="AC12" s="28"/>
      <c r="AD12" s="28"/>
      <c r="AE12" s="28"/>
      <c r="AF12" s="28"/>
      <c r="AG12" s="28"/>
      <c r="AH12" s="28"/>
      <c r="AI12" s="28"/>
      <c r="AJ12" s="28"/>
      <c r="AK12" s="28"/>
    </row>
    <row r="13" spans="1:37" x14ac:dyDescent="0.2">
      <c r="A13" s="28"/>
      <c r="B13" s="55" t="s">
        <v>127</v>
      </c>
      <c r="C13" s="56"/>
      <c r="D13" s="56">
        <f>IFERROR(VLOOKUP(B13,Manufacture_Locations!$A$1:$F$26,5,FALSE)," ")</f>
        <v>44.045593340000003</v>
      </c>
      <c r="E13" s="56">
        <f>IFERROR(VLOOKUP(B13,Manufacture_Locations!$A$1:$F$26,6,FALSE)," ")</f>
        <v>-122.98876009999999</v>
      </c>
      <c r="F13" s="56"/>
      <c r="G13" s="56"/>
      <c r="H13" s="55" t="s">
        <v>67</v>
      </c>
      <c r="I13" s="28"/>
      <c r="J13" s="28">
        <f>IFERROR(VLOOKUP(H13,City_Locations!$A$1:$C$41,2,FALSE)," ")</f>
        <v>32.776699999999998</v>
      </c>
      <c r="K13" s="28">
        <f>IFERROR(VLOOKUP(H13,City_Locations!$A$1:$C$41,3,FALSE)," ")</f>
        <v>-96.796999999999997</v>
      </c>
      <c r="L13" s="28"/>
      <c r="M13" s="28">
        <f>J13-D13</f>
        <v>-11.268893340000005</v>
      </c>
      <c r="N13" s="28">
        <f>K13-E13</f>
        <v>26.191760099999996</v>
      </c>
      <c r="O13" s="28"/>
      <c r="P13" s="57">
        <f>SQRT(((J13 -D13) * 69)^2 + ((K13 - E13) * 69 * COS(RADIANS((D13 + J13) / 2)))^2)</f>
        <v>1615.5248385622097</v>
      </c>
      <c r="Q13" s="28"/>
      <c r="S13" s="28"/>
      <c r="T13" s="58">
        <f>('Calculator Interface'!$G$24*'Calculator Interface'!$Q$24*0.0283168)/(V13*1000)</f>
        <v>38.206961541333328</v>
      </c>
      <c r="U13" s="28"/>
      <c r="V13" s="52">
        <v>40</v>
      </c>
      <c r="W13" s="28"/>
      <c r="X13" s="59">
        <f>(P31*P13*T13*V13*2)/1000</f>
        <v>798959.27934713941</v>
      </c>
      <c r="Y13" s="28"/>
      <c r="Z13" s="28"/>
      <c r="AA13" s="28"/>
      <c r="AB13" s="28"/>
      <c r="AC13" s="28"/>
      <c r="AD13" s="28"/>
      <c r="AE13" s="28"/>
      <c r="AF13" s="28"/>
      <c r="AG13" s="28"/>
      <c r="AH13" s="28"/>
      <c r="AI13" s="28"/>
      <c r="AJ13" s="28"/>
      <c r="AK13" s="28"/>
    </row>
    <row r="14" spans="1:37" x14ac:dyDescent="0.2">
      <c r="A14" s="28"/>
      <c r="B14" s="28"/>
      <c r="C14" s="28"/>
      <c r="D14" s="28"/>
      <c r="E14" s="28"/>
      <c r="F14" s="28"/>
      <c r="G14" s="28"/>
      <c r="H14" s="28"/>
      <c r="I14" s="28"/>
      <c r="J14" s="28"/>
      <c r="K14" s="28"/>
      <c r="L14" s="28"/>
      <c r="M14" s="28"/>
      <c r="N14" s="28"/>
      <c r="O14" s="28"/>
      <c r="P14" s="28" t="s">
        <v>68</v>
      </c>
      <c r="Q14" s="28"/>
      <c r="S14" s="28"/>
      <c r="T14" s="28"/>
      <c r="U14" s="28"/>
      <c r="V14" s="28"/>
      <c r="W14" s="28"/>
      <c r="X14" s="28"/>
      <c r="Y14" s="28"/>
      <c r="Z14" s="28"/>
      <c r="AA14" s="28"/>
      <c r="AB14" s="28"/>
      <c r="AC14" s="28"/>
      <c r="AD14" s="28"/>
      <c r="AE14" s="28"/>
      <c r="AF14" s="28"/>
      <c r="AG14" s="28"/>
      <c r="AH14" s="28"/>
      <c r="AI14" s="28"/>
      <c r="AJ14" s="28"/>
      <c r="AK14" s="28"/>
    </row>
    <row r="15" spans="1:37" x14ac:dyDescent="0.2">
      <c r="A15" s="28"/>
      <c r="B15" s="28"/>
      <c r="C15" s="28"/>
      <c r="D15" s="28"/>
      <c r="E15" s="28"/>
      <c r="F15" s="28"/>
      <c r="G15" s="28"/>
      <c r="H15" s="28"/>
      <c r="I15" s="28"/>
      <c r="J15" s="28"/>
      <c r="K15" s="28"/>
      <c r="L15" s="28"/>
      <c r="M15" s="28"/>
      <c r="N15" s="28"/>
      <c r="O15" s="28"/>
      <c r="P15" s="28"/>
      <c r="Q15" s="28"/>
      <c r="S15" s="28"/>
      <c r="T15" s="28"/>
      <c r="U15" s="28"/>
      <c r="V15" s="28"/>
      <c r="W15" s="28"/>
      <c r="X15" s="28"/>
      <c r="Y15" s="28"/>
      <c r="Z15" s="28"/>
      <c r="AA15" s="28"/>
      <c r="AB15" s="28"/>
      <c r="AC15" s="28"/>
      <c r="AD15" s="28"/>
      <c r="AE15" s="28"/>
      <c r="AF15" s="28"/>
      <c r="AG15" s="28"/>
      <c r="AH15" s="28"/>
      <c r="AI15" s="28"/>
      <c r="AJ15" s="28"/>
      <c r="AK15" s="28"/>
    </row>
    <row r="16" spans="1:37" x14ac:dyDescent="0.2">
      <c r="A16" s="28"/>
      <c r="B16" s="28"/>
      <c r="C16" s="28"/>
      <c r="D16" s="28"/>
      <c r="E16" s="28"/>
      <c r="F16" s="28"/>
      <c r="G16" s="28"/>
      <c r="H16" s="28"/>
      <c r="I16" s="28"/>
      <c r="J16" s="28"/>
      <c r="K16" s="28"/>
      <c r="L16" s="28"/>
      <c r="M16" s="28"/>
      <c r="N16" s="28"/>
      <c r="O16" s="28"/>
      <c r="P16" s="28"/>
      <c r="Q16" s="28"/>
      <c r="S16" s="28"/>
      <c r="T16" s="28"/>
      <c r="U16" s="28"/>
      <c r="V16" s="28"/>
      <c r="W16" s="28"/>
      <c r="X16" s="28"/>
      <c r="Y16" s="28"/>
      <c r="Z16" s="28"/>
      <c r="AA16" s="28"/>
      <c r="AB16" s="28"/>
      <c r="AC16" s="28"/>
      <c r="AD16" s="28"/>
      <c r="AE16" s="28"/>
      <c r="AF16" s="28"/>
      <c r="AG16" s="28"/>
      <c r="AH16" s="28"/>
      <c r="AI16" s="28"/>
      <c r="AJ16" s="28"/>
      <c r="AK16" s="28"/>
    </row>
    <row r="17" spans="1:37" x14ac:dyDescent="0.2">
      <c r="A17" s="28"/>
      <c r="B17" s="28"/>
      <c r="C17" s="28"/>
      <c r="D17" s="28"/>
      <c r="E17" s="28"/>
      <c r="F17" s="28"/>
      <c r="G17" s="28"/>
      <c r="H17" s="28"/>
      <c r="I17" s="28"/>
      <c r="J17" s="28"/>
      <c r="K17" s="28"/>
      <c r="L17" s="28"/>
      <c r="M17" s="28"/>
      <c r="N17" s="28"/>
      <c r="O17" s="28"/>
      <c r="P17" s="28"/>
      <c r="Q17" s="28"/>
      <c r="S17" s="28"/>
      <c r="T17" s="28"/>
      <c r="U17" s="28"/>
      <c r="V17" s="28"/>
      <c r="W17" s="28"/>
      <c r="X17" s="28"/>
      <c r="Y17" s="28"/>
      <c r="Z17" s="28"/>
      <c r="AA17" s="28"/>
      <c r="AB17" s="28"/>
      <c r="AC17" s="28"/>
      <c r="AD17" s="28"/>
      <c r="AE17" s="28"/>
      <c r="AF17" s="28"/>
      <c r="AG17" s="28"/>
      <c r="AH17" s="28"/>
      <c r="AI17" s="28"/>
      <c r="AJ17" s="28"/>
      <c r="AK17" s="28"/>
    </row>
    <row r="18" spans="1:37" x14ac:dyDescent="0.2">
      <c r="A18" s="28"/>
      <c r="B18" s="28"/>
      <c r="C18" s="28"/>
      <c r="D18" s="28"/>
      <c r="E18" s="28"/>
      <c r="F18" s="28"/>
      <c r="G18" s="28"/>
      <c r="H18" s="28"/>
      <c r="I18" s="28"/>
      <c r="J18" s="28"/>
      <c r="K18" s="28"/>
      <c r="L18" s="28"/>
      <c r="M18" s="28"/>
      <c r="N18" s="28"/>
      <c r="O18" s="28"/>
      <c r="P18" s="28"/>
      <c r="Q18" s="28"/>
      <c r="S18" s="28"/>
      <c r="T18" s="28"/>
      <c r="U18" s="28"/>
      <c r="V18" s="28"/>
      <c r="W18" s="28"/>
      <c r="X18" s="28"/>
      <c r="Y18" s="28"/>
      <c r="Z18" s="28"/>
      <c r="AA18" s="28"/>
      <c r="AB18" s="28"/>
      <c r="AC18" s="28"/>
      <c r="AD18" s="28"/>
      <c r="AE18" s="28"/>
      <c r="AF18" s="28"/>
      <c r="AG18" s="28"/>
      <c r="AH18" s="28"/>
      <c r="AI18" s="28"/>
      <c r="AJ18" s="28"/>
      <c r="AK18" s="28"/>
    </row>
    <row r="19" spans="1:37" x14ac:dyDescent="0.2">
      <c r="A19" s="28"/>
      <c r="B19" s="28"/>
      <c r="C19" s="28"/>
      <c r="D19" s="28"/>
      <c r="E19" s="28"/>
      <c r="F19" s="28"/>
      <c r="G19" s="28"/>
      <c r="H19" s="28"/>
      <c r="I19" s="28"/>
      <c r="J19" s="28"/>
      <c r="K19" s="28"/>
      <c r="L19" s="28"/>
      <c r="M19" s="28"/>
      <c r="N19" s="28"/>
      <c r="O19" s="28"/>
      <c r="P19" s="28"/>
      <c r="Q19" s="28"/>
      <c r="S19" s="28"/>
      <c r="T19" s="28"/>
      <c r="U19" s="28"/>
      <c r="V19" s="28"/>
      <c r="W19" s="28"/>
      <c r="X19" s="28"/>
      <c r="Y19" s="28"/>
      <c r="Z19" s="28"/>
      <c r="AA19" s="28"/>
      <c r="AB19" s="28"/>
      <c r="AC19" s="28"/>
      <c r="AD19" s="28"/>
      <c r="AE19" s="28"/>
      <c r="AF19" s="28"/>
      <c r="AG19" s="28"/>
      <c r="AH19" s="28"/>
      <c r="AI19" s="28"/>
      <c r="AJ19" s="28"/>
      <c r="AK19" s="28"/>
    </row>
    <row r="20" spans="1:37" x14ac:dyDescent="0.2">
      <c r="A20" s="28"/>
      <c r="B20" s="28"/>
      <c r="C20" s="28"/>
      <c r="D20" s="28"/>
      <c r="E20" s="28"/>
      <c r="F20" s="28"/>
      <c r="G20" s="28"/>
      <c r="H20" s="28"/>
      <c r="I20" s="28"/>
      <c r="J20" s="28"/>
      <c r="K20" s="28"/>
      <c r="L20" s="28"/>
      <c r="M20" s="28"/>
      <c r="N20" s="28"/>
      <c r="O20" s="28"/>
      <c r="P20" s="28"/>
      <c r="Q20" s="28"/>
      <c r="S20" s="28"/>
      <c r="T20" s="28"/>
      <c r="U20" s="28"/>
      <c r="V20" s="28"/>
      <c r="W20" s="28"/>
      <c r="X20" s="28"/>
      <c r="Y20" s="28"/>
      <c r="Z20" s="28"/>
      <c r="AA20" s="28"/>
      <c r="AB20" s="28"/>
      <c r="AC20" s="28"/>
      <c r="AD20" s="28"/>
      <c r="AE20" s="28"/>
      <c r="AF20" s="28"/>
      <c r="AG20" s="28"/>
      <c r="AH20" s="28"/>
      <c r="AI20" s="28"/>
      <c r="AJ20" s="28"/>
      <c r="AK20" s="28"/>
    </row>
    <row r="21" spans="1:37" x14ac:dyDescent="0.2">
      <c r="A21" s="28"/>
      <c r="B21" s="28"/>
      <c r="C21" s="28"/>
      <c r="D21" s="28"/>
      <c r="E21" s="28"/>
      <c r="F21" s="28"/>
      <c r="G21" s="28"/>
      <c r="H21" s="28"/>
      <c r="I21" s="28"/>
      <c r="J21" s="28"/>
      <c r="K21" s="28"/>
      <c r="L21" s="28"/>
      <c r="M21" s="28"/>
      <c r="N21" s="28"/>
      <c r="O21" s="28"/>
      <c r="P21" s="28"/>
      <c r="Q21" s="28"/>
      <c r="S21" s="28"/>
      <c r="T21" s="28"/>
      <c r="U21" s="28"/>
      <c r="V21" s="28"/>
      <c r="W21" s="28"/>
      <c r="X21" s="28"/>
      <c r="Y21" s="28"/>
      <c r="Z21" s="28"/>
      <c r="AA21" s="28"/>
      <c r="AB21" s="28"/>
      <c r="AC21" s="28"/>
      <c r="AD21" s="28"/>
      <c r="AE21" s="28"/>
      <c r="AF21" s="28"/>
      <c r="AG21" s="28"/>
      <c r="AH21" s="28"/>
      <c r="AI21" s="28"/>
      <c r="AJ21" s="28"/>
      <c r="AK21" s="28"/>
    </row>
    <row r="25" spans="1:37" ht="15" x14ac:dyDescent="0.2">
      <c r="M25" s="31"/>
    </row>
    <row r="27" spans="1:37" x14ac:dyDescent="0.2">
      <c r="B27" t="s">
        <v>69</v>
      </c>
      <c r="H27" t="s">
        <v>70</v>
      </c>
    </row>
    <row r="29" spans="1:37" x14ac:dyDescent="0.2">
      <c r="B29" t="s">
        <v>71</v>
      </c>
      <c r="H29" t="s">
        <v>72</v>
      </c>
    </row>
    <row r="30" spans="1:37" x14ac:dyDescent="0.2">
      <c r="B30" t="s">
        <v>73</v>
      </c>
      <c r="H30" t="s">
        <v>74</v>
      </c>
    </row>
    <row r="31" spans="1:37" x14ac:dyDescent="0.2">
      <c r="B31" t="s">
        <v>75</v>
      </c>
      <c r="H31" t="s">
        <v>76</v>
      </c>
      <c r="P31">
        <v>161.80000000000001</v>
      </c>
      <c r="Q31" t="s">
        <v>77</v>
      </c>
    </row>
  </sheetData>
  <sheetProtection algorithmName="SHA-512" hashValue="Bm6JfrJPqHYPuZOz7qdDEDbhSe+OjEMRbYgrBjqQAjCg76sQdh+DBTCIf/62tqPToW8LRSc1+8vdjxFXEHPioQ==" saltValue="DPD+RfaObM6UzW8CL/PDqg==" spinCount="100000" sheet="1" objects="1" scenarios="1"/>
  <mergeCells count="2">
    <mergeCell ref="A6:Q6"/>
    <mergeCell ref="S6:AK6"/>
  </mergeCells>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r:uid="{8FDEBCB2-15E2-4AC4-B56E-BF2EB285B7D5}">
          <x14:formula1>
            <xm:f>Manufacture_Locations!$A$2:$A$26</xm:f>
          </x14:formula1>
          <xm:sqref>B13:C13</xm:sqref>
        </x14:dataValidation>
        <x14:dataValidation type="list" allowBlank="1" showInputMessage="1" showErrorMessage="1" xr:uid="{1A6F880D-8144-4E34-B751-D75126CCDADD}">
          <x14:formula1>
            <xm:f>City_Locations!$A$2:$A$41</xm:f>
          </x14:formula1>
          <xm:sqref>H13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9EEE1-957C-4D4E-A8E5-E988961EE1EC}">
  <dimension ref="A1:C11"/>
  <sheetViews>
    <sheetView showGridLines="0" workbookViewId="0">
      <selection activeCell="F5" sqref="F5"/>
    </sheetView>
  </sheetViews>
  <sheetFormatPr defaultRowHeight="12.75" x14ac:dyDescent="0.2"/>
  <cols>
    <col min="1" max="2" width="20.7109375" customWidth="1"/>
    <col min="3" max="3" width="21" bestFit="1" customWidth="1"/>
  </cols>
  <sheetData>
    <row r="1" spans="1:3" ht="75" customHeight="1" x14ac:dyDescent="0.2">
      <c r="A1" t="e" vm="1">
        <v>#VALUE!</v>
      </c>
      <c r="C1" s="42" t="s">
        <v>14</v>
      </c>
    </row>
    <row r="2" spans="1:3" ht="75" customHeight="1" x14ac:dyDescent="0.2">
      <c r="B2" t="e" vm="2">
        <v>#VALUE!</v>
      </c>
      <c r="C2" s="42" t="s">
        <v>16</v>
      </c>
    </row>
    <row r="3" spans="1:3" ht="75" customHeight="1" x14ac:dyDescent="0.2">
      <c r="A3" t="e" vm="3">
        <v>#VALUE!</v>
      </c>
      <c r="C3" s="42" t="s">
        <v>17</v>
      </c>
    </row>
    <row r="4" spans="1:3" ht="75" customHeight="1" x14ac:dyDescent="0.2">
      <c r="B4" t="e" vm="4">
        <v>#VALUE!</v>
      </c>
      <c r="C4" s="42" t="s">
        <v>18</v>
      </c>
    </row>
    <row r="5" spans="1:3" ht="75" customHeight="1" x14ac:dyDescent="0.2">
      <c r="A5" t="e" vm="5">
        <v>#VALUE!</v>
      </c>
      <c r="C5" s="42" t="s">
        <v>20</v>
      </c>
    </row>
    <row r="6" spans="1:3" ht="75" customHeight="1" x14ac:dyDescent="0.2">
      <c r="B6" t="e" vm="6">
        <v>#VALUE!</v>
      </c>
      <c r="C6" s="42" t="s">
        <v>22</v>
      </c>
    </row>
    <row r="7" spans="1:3" ht="75" customHeight="1" x14ac:dyDescent="0.2">
      <c r="A7" t="e" vm="7">
        <v>#VALUE!</v>
      </c>
      <c r="C7" s="42" t="s">
        <v>24</v>
      </c>
    </row>
    <row r="8" spans="1:3" ht="80.099999999999994" customHeight="1" x14ac:dyDescent="0.2"/>
    <row r="9" spans="1:3" ht="80.099999999999994" customHeight="1" x14ac:dyDescent="0.2"/>
    <row r="10" spans="1:3" ht="80.099999999999994" customHeight="1" x14ac:dyDescent="0.2"/>
    <row r="11" spans="1:3" ht="80.099999999999994" customHeight="1"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8F8CB-2F6F-4D71-AEA7-A27ADD023C6B}">
  <dimension ref="A1:N4"/>
  <sheetViews>
    <sheetView showGridLines="0" tabSelected="1" topLeftCell="B1" workbookViewId="0">
      <selection activeCell="K12" sqref="K12"/>
    </sheetView>
  </sheetViews>
  <sheetFormatPr defaultRowHeight="12.75" x14ac:dyDescent="0.2"/>
  <cols>
    <col min="2" max="2" width="21.5703125" bestFit="1" customWidth="1"/>
    <col min="3" max="3" width="46.28515625" bestFit="1" customWidth="1"/>
    <col min="4" max="4" width="42.42578125" bestFit="1" customWidth="1"/>
    <col min="5" max="5" width="41.85546875" bestFit="1" customWidth="1"/>
    <col min="11" max="11" width="21.5703125" bestFit="1" customWidth="1"/>
    <col min="12" max="12" width="46.28515625" bestFit="1" customWidth="1"/>
    <col min="13" max="13" width="42.42578125" bestFit="1" customWidth="1"/>
    <col min="14" max="14" width="41.85546875" bestFit="1" customWidth="1"/>
  </cols>
  <sheetData>
    <row r="1" spans="1:14" x14ac:dyDescent="0.2">
      <c r="B1" t="s">
        <v>43</v>
      </c>
      <c r="C1" t="s">
        <v>242</v>
      </c>
      <c r="D1" t="s">
        <v>243</v>
      </c>
      <c r="E1" t="s">
        <v>244</v>
      </c>
      <c r="K1" t="s">
        <v>247</v>
      </c>
      <c r="L1" t="s">
        <v>246</v>
      </c>
      <c r="M1" t="s">
        <v>248</v>
      </c>
      <c r="N1" t="s">
        <v>249</v>
      </c>
    </row>
    <row r="2" spans="1:14" x14ac:dyDescent="0.2">
      <c r="A2" t="s">
        <v>1</v>
      </c>
      <c r="B2" s="26">
        <v>-272888.2573336527</v>
      </c>
      <c r="C2" s="26">
        <v>98351.322115577859</v>
      </c>
      <c r="D2" s="26">
        <v>181578.89106766254</v>
      </c>
      <c r="E2" s="26">
        <v>11780.118446774271</v>
      </c>
      <c r="J2" t="s">
        <v>1</v>
      </c>
      <c r="K2" s="26">
        <v>-272888.2573336527</v>
      </c>
      <c r="L2" s="26">
        <f>$K2+C2</f>
        <v>-174536.93521807482</v>
      </c>
      <c r="M2" s="26">
        <f t="shared" ref="M2:N4" si="0">$K2+D2</f>
        <v>-91309.36626599016</v>
      </c>
      <c r="N2" s="26">
        <f t="shared" si="0"/>
        <v>-261108.13888687844</v>
      </c>
    </row>
    <row r="3" spans="1:14" x14ac:dyDescent="0.2">
      <c r="A3" t="s">
        <v>3</v>
      </c>
      <c r="B3" s="26">
        <v>-1300232.2849426982</v>
      </c>
      <c r="C3" s="26">
        <v>460418.41931225453</v>
      </c>
      <c r="D3" s="26">
        <v>854677.01668472763</v>
      </c>
      <c r="E3" s="26">
        <v>44497.02794421195</v>
      </c>
      <c r="J3" t="s">
        <v>3</v>
      </c>
      <c r="K3" s="26">
        <v>-1300232.2849426982</v>
      </c>
      <c r="L3" s="26">
        <f t="shared" ref="L3:L4" si="1">$K3+C3</f>
        <v>-839813.86563044367</v>
      </c>
      <c r="M3" s="26">
        <f t="shared" si="0"/>
        <v>-445555.26825797057</v>
      </c>
      <c r="N3" s="26">
        <f t="shared" si="0"/>
        <v>-1255735.2569984864</v>
      </c>
    </row>
    <row r="4" spans="1:14" x14ac:dyDescent="0.2">
      <c r="A4" t="s">
        <v>4</v>
      </c>
      <c r="B4" s="26">
        <v>-1616295.5606780241</v>
      </c>
      <c r="C4" s="26">
        <v>610698.18706010142</v>
      </c>
      <c r="D4" s="26">
        <v>1100607.2736544255</v>
      </c>
      <c r="E4" s="26">
        <v>56936.641090554171</v>
      </c>
      <c r="J4" t="s">
        <v>4</v>
      </c>
      <c r="K4" s="26">
        <v>-1616295.5606780241</v>
      </c>
      <c r="L4" s="26">
        <f t="shared" si="1"/>
        <v>-1005597.3736179227</v>
      </c>
      <c r="M4" s="26">
        <f t="shared" si="0"/>
        <v>-515688.28702359856</v>
      </c>
      <c r="N4" s="26">
        <f t="shared" si="0"/>
        <v>-1559358.9195874699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354E-F9EF-4168-9658-0EF8B3704C61}">
  <dimension ref="A1:H26"/>
  <sheetViews>
    <sheetView workbookViewId="0">
      <selection activeCell="B2" sqref="B2:C2"/>
    </sheetView>
  </sheetViews>
  <sheetFormatPr defaultRowHeight="12.75" x14ac:dyDescent="0.2"/>
  <cols>
    <col min="1" max="1" width="30.140625" bestFit="1" customWidth="1"/>
    <col min="2" max="2" width="13.5703125" bestFit="1" customWidth="1"/>
    <col min="3" max="3" width="16.5703125" bestFit="1" customWidth="1"/>
    <col min="4" max="4" width="8.140625" bestFit="1" customWidth="1"/>
    <col min="5" max="5" width="12" bestFit="1" customWidth="1"/>
    <col min="6" max="6" width="12.7109375" bestFit="1" customWidth="1"/>
    <col min="8" max="8" width="30.5703125" bestFit="1" customWidth="1"/>
  </cols>
  <sheetData>
    <row r="1" spans="1:8" x14ac:dyDescent="0.2">
      <c r="A1" s="5" t="s">
        <v>78</v>
      </c>
      <c r="B1" s="5" t="s">
        <v>79</v>
      </c>
      <c r="C1" s="5" t="s">
        <v>80</v>
      </c>
      <c r="D1" s="5" t="s">
        <v>81</v>
      </c>
      <c r="E1" s="5" t="s">
        <v>82</v>
      </c>
      <c r="F1" s="5" t="s">
        <v>83</v>
      </c>
    </row>
    <row r="2" spans="1:8" ht="15" x14ac:dyDescent="0.2">
      <c r="A2" s="31" t="s">
        <v>84</v>
      </c>
      <c r="B2" t="s">
        <v>85</v>
      </c>
      <c r="C2" t="s">
        <v>86</v>
      </c>
      <c r="D2" t="s">
        <v>87</v>
      </c>
      <c r="E2">
        <v>43.635000470000001</v>
      </c>
      <c r="F2">
        <v>-93.386049999999997</v>
      </c>
      <c r="H2" s="31"/>
    </row>
    <row r="3" spans="1:8" ht="15" x14ac:dyDescent="0.2">
      <c r="A3" s="31" t="s">
        <v>88</v>
      </c>
      <c r="B3" t="s">
        <v>89</v>
      </c>
      <c r="C3" t="s">
        <v>90</v>
      </c>
      <c r="D3" t="s">
        <v>87</v>
      </c>
      <c r="E3">
        <v>33.710207969999999</v>
      </c>
      <c r="F3">
        <v>-82.75445895</v>
      </c>
      <c r="H3" s="31"/>
    </row>
    <row r="4" spans="1:8" ht="15" x14ac:dyDescent="0.2">
      <c r="A4" s="31" t="s">
        <v>91</v>
      </c>
      <c r="B4" t="s">
        <v>92</v>
      </c>
      <c r="C4" t="s">
        <v>93</v>
      </c>
      <c r="D4" t="s">
        <v>87</v>
      </c>
      <c r="E4">
        <v>33.206128999999997</v>
      </c>
      <c r="F4">
        <v>-92.682608369999997</v>
      </c>
      <c r="H4" s="31"/>
    </row>
    <row r="5" spans="1:8" ht="15" x14ac:dyDescent="0.2">
      <c r="A5" s="31" t="s">
        <v>94</v>
      </c>
      <c r="B5" t="s">
        <v>95</v>
      </c>
      <c r="C5" t="s">
        <v>96</v>
      </c>
      <c r="D5" t="s">
        <v>87</v>
      </c>
      <c r="E5">
        <v>34.109308460000001</v>
      </c>
      <c r="F5">
        <v>-109.33492080000001</v>
      </c>
      <c r="H5" s="31"/>
    </row>
    <row r="6" spans="1:8" ht="15" x14ac:dyDescent="0.2">
      <c r="A6" s="31" t="s">
        <v>97</v>
      </c>
      <c r="B6" t="s">
        <v>98</v>
      </c>
      <c r="C6" t="s">
        <v>99</v>
      </c>
      <c r="D6" t="s">
        <v>87</v>
      </c>
      <c r="E6">
        <v>43.601200249999998</v>
      </c>
      <c r="F6">
        <v>-116.9102867</v>
      </c>
      <c r="H6" s="31"/>
    </row>
    <row r="7" spans="1:8" ht="15" x14ac:dyDescent="0.2">
      <c r="A7" s="31" t="s">
        <v>100</v>
      </c>
      <c r="B7" t="s">
        <v>101</v>
      </c>
      <c r="C7" t="s">
        <v>102</v>
      </c>
      <c r="D7" t="s">
        <v>87</v>
      </c>
      <c r="E7">
        <v>42.428014650000001</v>
      </c>
      <c r="F7">
        <v>-122.86061170000001</v>
      </c>
      <c r="H7" s="31"/>
    </row>
    <row r="8" spans="1:8" ht="15" x14ac:dyDescent="0.2">
      <c r="A8" s="31" t="s">
        <v>103</v>
      </c>
      <c r="B8" t="s">
        <v>104</v>
      </c>
      <c r="C8" t="s">
        <v>105</v>
      </c>
      <c r="D8" t="s">
        <v>87</v>
      </c>
      <c r="E8">
        <v>33.665803680000003</v>
      </c>
      <c r="F8">
        <v>-85.850443970000001</v>
      </c>
      <c r="H8" s="31"/>
    </row>
    <row r="9" spans="1:8" ht="15" x14ac:dyDescent="0.2">
      <c r="A9" s="31" t="s">
        <v>106</v>
      </c>
      <c r="B9" t="s">
        <v>107</v>
      </c>
      <c r="C9" t="s">
        <v>102</v>
      </c>
      <c r="D9" t="s">
        <v>87</v>
      </c>
      <c r="E9">
        <v>42.958818280000003</v>
      </c>
      <c r="F9">
        <v>-123.3770815</v>
      </c>
      <c r="H9" s="31"/>
    </row>
    <row r="10" spans="1:8" ht="15" x14ac:dyDescent="0.2">
      <c r="A10" s="31" t="s">
        <v>108</v>
      </c>
      <c r="B10" t="s">
        <v>109</v>
      </c>
      <c r="C10" t="s">
        <v>102</v>
      </c>
      <c r="D10" t="s">
        <v>87</v>
      </c>
      <c r="E10">
        <v>44.771726510000001</v>
      </c>
      <c r="F10">
        <v>-122.6019646</v>
      </c>
      <c r="H10" s="31"/>
    </row>
    <row r="11" spans="1:8" ht="15" x14ac:dyDescent="0.2">
      <c r="A11" s="31" t="s">
        <v>110</v>
      </c>
      <c r="B11" t="s">
        <v>111</v>
      </c>
      <c r="C11" t="s">
        <v>112</v>
      </c>
      <c r="D11" t="s">
        <v>87</v>
      </c>
      <c r="E11">
        <v>43.458190969999997</v>
      </c>
      <c r="F11">
        <v>-96.827856769999997</v>
      </c>
      <c r="H11" s="31"/>
    </row>
    <row r="12" spans="1:8" ht="15" x14ac:dyDescent="0.2">
      <c r="A12" s="31" t="s">
        <v>113</v>
      </c>
      <c r="B12" t="s">
        <v>114</v>
      </c>
      <c r="C12" t="s">
        <v>115</v>
      </c>
      <c r="D12" t="s">
        <v>116</v>
      </c>
      <c r="E12">
        <v>49.392697740000003</v>
      </c>
      <c r="F12">
        <v>-117.550175</v>
      </c>
      <c r="H12" s="31"/>
    </row>
    <row r="13" spans="1:8" ht="15" x14ac:dyDescent="0.2">
      <c r="A13" s="31" t="s">
        <v>117</v>
      </c>
      <c r="B13" t="s">
        <v>118</v>
      </c>
      <c r="C13" t="s">
        <v>89</v>
      </c>
      <c r="D13" t="s">
        <v>87</v>
      </c>
      <c r="E13">
        <v>47.6903784</v>
      </c>
      <c r="F13">
        <v>-117.1462461</v>
      </c>
      <c r="H13" s="31"/>
    </row>
    <row r="14" spans="1:8" ht="15" x14ac:dyDescent="0.2">
      <c r="A14" s="31" t="s">
        <v>66</v>
      </c>
      <c r="B14" t="s">
        <v>119</v>
      </c>
      <c r="C14" t="s">
        <v>93</v>
      </c>
      <c r="D14" t="s">
        <v>87</v>
      </c>
      <c r="E14">
        <v>35.045002650000001</v>
      </c>
      <c r="F14">
        <v>-92.422245380000007</v>
      </c>
      <c r="H14" s="31"/>
    </row>
    <row r="15" spans="1:8" ht="15" x14ac:dyDescent="0.2">
      <c r="A15" s="31" t="s">
        <v>120</v>
      </c>
      <c r="B15" t="s">
        <v>121</v>
      </c>
      <c r="C15" t="s">
        <v>115</v>
      </c>
      <c r="D15" t="s">
        <v>116</v>
      </c>
      <c r="E15">
        <v>49.33200901</v>
      </c>
      <c r="F15">
        <v>-119.56767170000001</v>
      </c>
      <c r="H15" s="31"/>
    </row>
    <row r="16" spans="1:8" ht="15" x14ac:dyDescent="0.2">
      <c r="A16" s="31" t="s">
        <v>122</v>
      </c>
      <c r="B16" t="s">
        <v>123</v>
      </c>
      <c r="C16" t="s">
        <v>124</v>
      </c>
      <c r="D16" t="s">
        <v>87</v>
      </c>
      <c r="E16">
        <v>31.856789800000001</v>
      </c>
      <c r="F16">
        <v>-88.716525509999997</v>
      </c>
      <c r="H16" s="31"/>
    </row>
    <row r="17" spans="1:8" ht="15" x14ac:dyDescent="0.2">
      <c r="A17" s="31" t="s">
        <v>125</v>
      </c>
      <c r="B17" t="s">
        <v>126</v>
      </c>
      <c r="C17" t="s">
        <v>99</v>
      </c>
      <c r="D17" t="s">
        <v>87</v>
      </c>
      <c r="E17">
        <v>45.033775599999998</v>
      </c>
      <c r="F17">
        <v>-113.66907569999999</v>
      </c>
      <c r="H17" s="31"/>
    </row>
    <row r="18" spans="1:8" ht="15" x14ac:dyDescent="0.2">
      <c r="A18" s="31" t="s">
        <v>127</v>
      </c>
      <c r="B18" t="s">
        <v>128</v>
      </c>
      <c r="C18" t="s">
        <v>102</v>
      </c>
      <c r="D18" t="s">
        <v>87</v>
      </c>
      <c r="E18">
        <v>44.045593340000003</v>
      </c>
      <c r="F18">
        <v>-122.98876009999999</v>
      </c>
      <c r="H18" s="31"/>
    </row>
    <row r="19" spans="1:8" ht="15" x14ac:dyDescent="0.2">
      <c r="A19" s="31" t="s">
        <v>129</v>
      </c>
      <c r="B19" t="s">
        <v>130</v>
      </c>
      <c r="C19" t="s">
        <v>89</v>
      </c>
      <c r="D19" t="s">
        <v>87</v>
      </c>
      <c r="E19">
        <v>46.63281491</v>
      </c>
      <c r="F19">
        <v>-122.9243829</v>
      </c>
      <c r="H19" s="31"/>
    </row>
    <row r="20" spans="1:8" ht="15" x14ac:dyDescent="0.2">
      <c r="A20" s="31" t="s">
        <v>131</v>
      </c>
      <c r="B20" t="s">
        <v>132</v>
      </c>
      <c r="C20" t="s">
        <v>133</v>
      </c>
      <c r="D20" t="s">
        <v>87</v>
      </c>
      <c r="E20">
        <v>48.376999669999996</v>
      </c>
      <c r="F20">
        <v>-114.1802163</v>
      </c>
      <c r="H20" s="31"/>
    </row>
    <row r="21" spans="1:8" ht="15" x14ac:dyDescent="0.2">
      <c r="A21" s="31" t="s">
        <v>134</v>
      </c>
      <c r="B21" t="s">
        <v>135</v>
      </c>
      <c r="C21" t="s">
        <v>105</v>
      </c>
      <c r="D21" t="s">
        <v>87</v>
      </c>
      <c r="E21">
        <v>31.179506960000001</v>
      </c>
      <c r="F21">
        <v>-85.409880310000005</v>
      </c>
      <c r="H21" s="31"/>
    </row>
    <row r="22" spans="1:8" ht="15" x14ac:dyDescent="0.2">
      <c r="A22" s="31" t="s">
        <v>136</v>
      </c>
      <c r="B22" t="s">
        <v>137</v>
      </c>
      <c r="C22" t="s">
        <v>138</v>
      </c>
      <c r="D22" t="s">
        <v>87</v>
      </c>
      <c r="E22">
        <v>40.783448790000001</v>
      </c>
      <c r="F22">
        <v>-81.442413810000005</v>
      </c>
      <c r="H22" s="31"/>
    </row>
    <row r="23" spans="1:8" ht="15" x14ac:dyDescent="0.2">
      <c r="A23" s="31" t="s">
        <v>139</v>
      </c>
      <c r="B23" t="s">
        <v>140</v>
      </c>
      <c r="C23" t="s">
        <v>141</v>
      </c>
      <c r="D23" t="s">
        <v>87</v>
      </c>
      <c r="E23">
        <v>45.5784296</v>
      </c>
      <c r="F23">
        <v>-122.6488446</v>
      </c>
      <c r="H23" s="31"/>
    </row>
    <row r="24" spans="1:8" ht="15" x14ac:dyDescent="0.2">
      <c r="A24" s="31" t="s">
        <v>142</v>
      </c>
      <c r="B24" t="s">
        <v>143</v>
      </c>
      <c r="C24" t="s">
        <v>144</v>
      </c>
      <c r="D24" t="s">
        <v>87</v>
      </c>
      <c r="E24">
        <v>34.739956560000003</v>
      </c>
      <c r="F24">
        <v>-82.408319050000003</v>
      </c>
      <c r="H24" s="31"/>
    </row>
    <row r="25" spans="1:8" ht="15" x14ac:dyDescent="0.2">
      <c r="A25" s="31" t="s">
        <v>145</v>
      </c>
      <c r="B25" t="s">
        <v>146</v>
      </c>
      <c r="C25" t="s">
        <v>89</v>
      </c>
      <c r="D25" t="s">
        <v>87</v>
      </c>
      <c r="E25">
        <v>48.554452380000001</v>
      </c>
      <c r="F25">
        <v>-117.9216938</v>
      </c>
      <c r="H25" s="31"/>
    </row>
    <row r="26" spans="1:8" ht="15" x14ac:dyDescent="0.2">
      <c r="A26" s="31" t="s">
        <v>147</v>
      </c>
      <c r="B26" t="s">
        <v>148</v>
      </c>
      <c r="C26" t="s">
        <v>102</v>
      </c>
      <c r="D26" t="s">
        <v>87</v>
      </c>
      <c r="E26">
        <v>44.059309450000001</v>
      </c>
      <c r="F26">
        <v>-123.13646439999999</v>
      </c>
      <c r="H26"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FBE92-3EE8-41C3-BBC3-8CD7170BD17E}">
  <dimension ref="A1:C41"/>
  <sheetViews>
    <sheetView workbookViewId="0">
      <selection activeCell="A2" sqref="A2:A41"/>
    </sheetView>
  </sheetViews>
  <sheetFormatPr defaultRowHeight="12.75" x14ac:dyDescent="0.2"/>
  <cols>
    <col min="1" max="1" width="19.140625" bestFit="1" customWidth="1"/>
  </cols>
  <sheetData>
    <row r="1" spans="1:3" ht="15" x14ac:dyDescent="0.2">
      <c r="A1" s="30" t="s">
        <v>149</v>
      </c>
      <c r="B1" s="30" t="s">
        <v>150</v>
      </c>
      <c r="C1" s="30" t="s">
        <v>151</v>
      </c>
    </row>
    <row r="2" spans="1:3" x14ac:dyDescent="0.2">
      <c r="A2" t="s">
        <v>152</v>
      </c>
      <c r="B2">
        <v>40.712800000000001</v>
      </c>
      <c r="C2">
        <v>-74.006</v>
      </c>
    </row>
    <row r="3" spans="1:3" x14ac:dyDescent="0.2">
      <c r="A3" t="s">
        <v>153</v>
      </c>
      <c r="B3">
        <v>34.052199999999999</v>
      </c>
      <c r="C3">
        <v>-118.2437</v>
      </c>
    </row>
    <row r="4" spans="1:3" x14ac:dyDescent="0.2">
      <c r="A4" t="s">
        <v>154</v>
      </c>
      <c r="B4">
        <v>41.878100000000003</v>
      </c>
      <c r="C4">
        <v>-87.629800000000003</v>
      </c>
    </row>
    <row r="5" spans="1:3" x14ac:dyDescent="0.2">
      <c r="A5" t="s">
        <v>155</v>
      </c>
      <c r="B5">
        <v>29.760400000000001</v>
      </c>
      <c r="C5">
        <v>-95.369799999999998</v>
      </c>
    </row>
    <row r="6" spans="1:3" x14ac:dyDescent="0.2">
      <c r="A6" t="s">
        <v>156</v>
      </c>
      <c r="B6">
        <v>33.448399999999999</v>
      </c>
      <c r="C6">
        <v>-112.074</v>
      </c>
    </row>
    <row r="7" spans="1:3" x14ac:dyDescent="0.2">
      <c r="A7" t="s">
        <v>157</v>
      </c>
      <c r="B7">
        <v>39.952599999999997</v>
      </c>
      <c r="C7">
        <v>-75.165199999999999</v>
      </c>
    </row>
    <row r="8" spans="1:3" x14ac:dyDescent="0.2">
      <c r="A8" t="s">
        <v>158</v>
      </c>
      <c r="B8">
        <v>29.424099999999999</v>
      </c>
      <c r="C8">
        <v>-98.493600000000001</v>
      </c>
    </row>
    <row r="9" spans="1:3" x14ac:dyDescent="0.2">
      <c r="A9" t="s">
        <v>159</v>
      </c>
      <c r="B9">
        <v>32.715699999999998</v>
      </c>
      <c r="C9">
        <v>-117.1611</v>
      </c>
    </row>
    <row r="10" spans="1:3" x14ac:dyDescent="0.2">
      <c r="A10" t="s">
        <v>67</v>
      </c>
      <c r="B10">
        <v>32.776699999999998</v>
      </c>
      <c r="C10">
        <v>-96.796999999999997</v>
      </c>
    </row>
    <row r="11" spans="1:3" x14ac:dyDescent="0.2">
      <c r="A11" t="s">
        <v>160</v>
      </c>
      <c r="B11">
        <v>37.338200000000001</v>
      </c>
      <c r="C11">
        <v>-121.88630000000001</v>
      </c>
    </row>
    <row r="12" spans="1:3" x14ac:dyDescent="0.2">
      <c r="A12" t="s">
        <v>161</v>
      </c>
      <c r="B12">
        <v>30.267199999999999</v>
      </c>
      <c r="C12">
        <v>-97.743099999999998</v>
      </c>
    </row>
    <row r="13" spans="1:3" x14ac:dyDescent="0.2">
      <c r="A13" t="s">
        <v>162</v>
      </c>
      <c r="B13">
        <v>30.3322</v>
      </c>
      <c r="C13">
        <v>-81.655699999999996</v>
      </c>
    </row>
    <row r="14" spans="1:3" x14ac:dyDescent="0.2">
      <c r="A14" t="s">
        <v>163</v>
      </c>
      <c r="B14">
        <v>32.755499999999998</v>
      </c>
      <c r="C14">
        <v>-97.330799999999996</v>
      </c>
    </row>
    <row r="15" spans="1:3" x14ac:dyDescent="0.2">
      <c r="A15" t="s">
        <v>164</v>
      </c>
      <c r="B15">
        <v>39.961199999999998</v>
      </c>
      <c r="C15">
        <v>-82.998800000000003</v>
      </c>
    </row>
    <row r="16" spans="1:3" x14ac:dyDescent="0.2">
      <c r="A16" t="s">
        <v>165</v>
      </c>
      <c r="B16">
        <v>35.2271</v>
      </c>
      <c r="C16">
        <v>-80.843100000000007</v>
      </c>
    </row>
    <row r="17" spans="1:3" x14ac:dyDescent="0.2">
      <c r="A17" t="s">
        <v>166</v>
      </c>
      <c r="B17">
        <v>37.774900000000002</v>
      </c>
      <c r="C17">
        <v>-122.4194</v>
      </c>
    </row>
    <row r="18" spans="1:3" x14ac:dyDescent="0.2">
      <c r="A18" t="s">
        <v>167</v>
      </c>
      <c r="B18">
        <v>39.7684</v>
      </c>
      <c r="C18">
        <v>-86.158100000000005</v>
      </c>
    </row>
    <row r="19" spans="1:3" x14ac:dyDescent="0.2">
      <c r="A19" t="s">
        <v>168</v>
      </c>
      <c r="B19">
        <v>47.606200000000001</v>
      </c>
      <c r="C19">
        <v>-122.3321</v>
      </c>
    </row>
    <row r="20" spans="1:3" x14ac:dyDescent="0.2">
      <c r="A20" t="s">
        <v>169</v>
      </c>
      <c r="B20">
        <v>39.739199999999997</v>
      </c>
      <c r="C20">
        <v>-104.9903</v>
      </c>
    </row>
    <row r="21" spans="1:3" x14ac:dyDescent="0.2">
      <c r="A21" t="s">
        <v>170</v>
      </c>
      <c r="B21">
        <v>38.907200000000003</v>
      </c>
      <c r="C21">
        <v>-77.036900000000003</v>
      </c>
    </row>
    <row r="22" spans="1:3" x14ac:dyDescent="0.2">
      <c r="A22" t="s">
        <v>171</v>
      </c>
      <c r="B22">
        <v>42.360100000000003</v>
      </c>
      <c r="C22">
        <v>-71.058899999999994</v>
      </c>
    </row>
    <row r="23" spans="1:3" x14ac:dyDescent="0.2">
      <c r="A23" t="s">
        <v>172</v>
      </c>
      <c r="B23">
        <v>31.761900000000001</v>
      </c>
      <c r="C23">
        <v>-106.485</v>
      </c>
    </row>
    <row r="24" spans="1:3" x14ac:dyDescent="0.2">
      <c r="A24" t="s">
        <v>173</v>
      </c>
      <c r="B24">
        <v>42.331400000000002</v>
      </c>
      <c r="C24">
        <v>-83.0458</v>
      </c>
    </row>
    <row r="25" spans="1:3" x14ac:dyDescent="0.2">
      <c r="A25" t="s">
        <v>174</v>
      </c>
      <c r="B25">
        <v>36.162700000000001</v>
      </c>
      <c r="C25">
        <v>-86.781599999999997</v>
      </c>
    </row>
    <row r="26" spans="1:3" x14ac:dyDescent="0.2">
      <c r="A26" t="s">
        <v>175</v>
      </c>
      <c r="B26">
        <v>45.505099999999999</v>
      </c>
      <c r="C26">
        <v>-122.675</v>
      </c>
    </row>
    <row r="27" spans="1:3" x14ac:dyDescent="0.2">
      <c r="A27" t="s">
        <v>176</v>
      </c>
      <c r="B27">
        <v>35.149500000000003</v>
      </c>
      <c r="C27">
        <v>-90.049000000000007</v>
      </c>
    </row>
    <row r="28" spans="1:3" x14ac:dyDescent="0.2">
      <c r="A28" t="s">
        <v>177</v>
      </c>
      <c r="B28">
        <v>35.467599999999997</v>
      </c>
      <c r="C28">
        <v>-97.516400000000004</v>
      </c>
    </row>
    <row r="29" spans="1:3" x14ac:dyDescent="0.2">
      <c r="A29" t="s">
        <v>178</v>
      </c>
      <c r="B29">
        <v>36.169899999999998</v>
      </c>
      <c r="C29">
        <v>-115.13979999999999</v>
      </c>
    </row>
    <row r="30" spans="1:3" x14ac:dyDescent="0.2">
      <c r="A30" t="s">
        <v>179</v>
      </c>
      <c r="B30">
        <v>38.252699999999997</v>
      </c>
      <c r="C30">
        <v>-85.758499999999998</v>
      </c>
    </row>
    <row r="31" spans="1:3" x14ac:dyDescent="0.2">
      <c r="A31" t="s">
        <v>180</v>
      </c>
      <c r="B31">
        <v>39.290399999999998</v>
      </c>
      <c r="C31">
        <v>-76.612200000000001</v>
      </c>
    </row>
    <row r="32" spans="1:3" x14ac:dyDescent="0.2">
      <c r="A32" t="s">
        <v>181</v>
      </c>
      <c r="B32">
        <v>43.038899999999998</v>
      </c>
      <c r="C32">
        <v>-87.906499999999994</v>
      </c>
    </row>
    <row r="33" spans="1:3" x14ac:dyDescent="0.2">
      <c r="A33" t="s">
        <v>182</v>
      </c>
      <c r="B33">
        <v>35.084400000000002</v>
      </c>
      <c r="C33">
        <v>-106.6504</v>
      </c>
    </row>
    <row r="34" spans="1:3" x14ac:dyDescent="0.2">
      <c r="A34" t="s">
        <v>183</v>
      </c>
      <c r="B34">
        <v>32.2226</v>
      </c>
      <c r="C34">
        <v>-110.9747</v>
      </c>
    </row>
    <row r="35" spans="1:3" x14ac:dyDescent="0.2">
      <c r="A35" t="s">
        <v>184</v>
      </c>
      <c r="B35">
        <v>36.7378</v>
      </c>
      <c r="C35">
        <v>-119.7871</v>
      </c>
    </row>
    <row r="36" spans="1:3" x14ac:dyDescent="0.2">
      <c r="A36" t="s">
        <v>185</v>
      </c>
      <c r="B36">
        <v>38.581600000000002</v>
      </c>
      <c r="C36">
        <v>-121.4944</v>
      </c>
    </row>
    <row r="37" spans="1:3" x14ac:dyDescent="0.2">
      <c r="A37" t="s">
        <v>186</v>
      </c>
      <c r="B37">
        <v>39.099699999999999</v>
      </c>
      <c r="C37">
        <v>-94.578599999999994</v>
      </c>
    </row>
    <row r="38" spans="1:3" x14ac:dyDescent="0.2">
      <c r="A38" t="s">
        <v>187</v>
      </c>
      <c r="B38">
        <v>33.415199999999999</v>
      </c>
      <c r="C38">
        <v>-111.83150000000001</v>
      </c>
    </row>
    <row r="39" spans="1:3" x14ac:dyDescent="0.2">
      <c r="A39" t="s">
        <v>188</v>
      </c>
      <c r="B39">
        <v>33.749000000000002</v>
      </c>
      <c r="C39">
        <v>-84.388000000000005</v>
      </c>
    </row>
    <row r="40" spans="1:3" x14ac:dyDescent="0.2">
      <c r="A40" t="s">
        <v>189</v>
      </c>
      <c r="B40">
        <v>41.256500000000003</v>
      </c>
      <c r="C40">
        <v>-95.9345</v>
      </c>
    </row>
    <row r="41" spans="1:3" x14ac:dyDescent="0.2">
      <c r="A41" t="s">
        <v>190</v>
      </c>
      <c r="B41">
        <v>38.8339</v>
      </c>
      <c r="C41">
        <v>-104.8214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029D-ABCE-4A75-969A-DF3B1BE6D567}">
  <dimension ref="A1:AO64"/>
  <sheetViews>
    <sheetView zoomScaleNormal="100" workbookViewId="0">
      <selection activeCell="B29" sqref="B29:C29"/>
    </sheetView>
  </sheetViews>
  <sheetFormatPr defaultRowHeight="12.75" x14ac:dyDescent="0.2"/>
  <cols>
    <col min="1" max="1" width="19" bestFit="1" customWidth="1"/>
    <col min="2" max="2" width="9.5703125" bestFit="1" customWidth="1"/>
    <col min="3" max="3" width="8.85546875" customWidth="1"/>
    <col min="4" max="4" width="25.28515625" bestFit="1" customWidth="1"/>
    <col min="5" max="5" width="32.7109375" bestFit="1" customWidth="1"/>
    <col min="6" max="6" width="15" bestFit="1" customWidth="1"/>
    <col min="7" max="7" width="19.28515625" bestFit="1" customWidth="1"/>
    <col min="8" max="8" width="16.7109375" customWidth="1"/>
    <col min="13" max="13" width="18.140625" bestFit="1" customWidth="1"/>
    <col min="14" max="14" width="9.5703125" bestFit="1" customWidth="1"/>
    <col min="15" max="15" width="5.7109375" bestFit="1" customWidth="1"/>
    <col min="16" max="16" width="8.5703125" bestFit="1" customWidth="1"/>
    <col min="17" max="25" width="9.5703125" bestFit="1" customWidth="1"/>
    <col min="27" max="27" width="9.7109375" bestFit="1" customWidth="1"/>
    <col min="28" max="28" width="18.42578125" bestFit="1" customWidth="1"/>
    <col min="29" max="29" width="9.7109375" bestFit="1" customWidth="1"/>
    <col min="31" max="31" width="9.5703125" bestFit="1" customWidth="1"/>
    <col min="42" max="42" width="18.140625" bestFit="1" customWidth="1"/>
  </cols>
  <sheetData>
    <row r="1" spans="1:8" ht="25.5" x14ac:dyDescent="0.2">
      <c r="A1" s="6" t="s">
        <v>191</v>
      </c>
      <c r="B1" s="6" t="s">
        <v>192</v>
      </c>
      <c r="C1" s="6" t="s">
        <v>193</v>
      </c>
      <c r="D1" s="6" t="s">
        <v>194</v>
      </c>
      <c r="E1" s="6" t="s">
        <v>195</v>
      </c>
      <c r="F1" s="6" t="s">
        <v>196</v>
      </c>
      <c r="G1" s="6" t="s">
        <v>197</v>
      </c>
      <c r="H1" s="6" t="s">
        <v>198</v>
      </c>
    </row>
    <row r="2" spans="1:8" x14ac:dyDescent="0.2">
      <c r="A2" t="s">
        <v>14</v>
      </c>
      <c r="B2">
        <v>33.5</v>
      </c>
      <c r="C2">
        <v>1.5</v>
      </c>
      <c r="D2" t="s">
        <v>199</v>
      </c>
      <c r="E2" t="s">
        <v>200</v>
      </c>
      <c r="F2" s="10">
        <v>0.27500000000000002</v>
      </c>
      <c r="G2">
        <v>495</v>
      </c>
      <c r="H2">
        <v>7.5000000000000011E-2</v>
      </c>
    </row>
    <row r="3" spans="1:8" x14ac:dyDescent="0.2">
      <c r="A3" t="s">
        <v>16</v>
      </c>
      <c r="B3">
        <v>67.5</v>
      </c>
      <c r="C3">
        <v>1.75</v>
      </c>
      <c r="D3" t="s">
        <v>199</v>
      </c>
      <c r="E3" t="s">
        <v>201</v>
      </c>
      <c r="F3" s="10">
        <v>0.22500000000000001</v>
      </c>
      <c r="G3">
        <v>510</v>
      </c>
      <c r="H3">
        <v>0.125</v>
      </c>
    </row>
    <row r="4" spans="1:8" x14ac:dyDescent="0.2">
      <c r="A4" t="s">
        <v>17</v>
      </c>
      <c r="B4">
        <v>55</v>
      </c>
      <c r="C4">
        <v>1.25</v>
      </c>
      <c r="D4" t="s">
        <v>199</v>
      </c>
      <c r="E4" t="s">
        <v>202</v>
      </c>
      <c r="F4" s="10">
        <v>0.22500000000000001</v>
      </c>
      <c r="G4">
        <v>465</v>
      </c>
      <c r="H4">
        <v>0.15000000000000002</v>
      </c>
    </row>
    <row r="5" spans="1:8" x14ac:dyDescent="0.2">
      <c r="A5" t="s">
        <v>18</v>
      </c>
      <c r="B5">
        <v>40</v>
      </c>
      <c r="C5">
        <v>0.9</v>
      </c>
      <c r="D5" t="s">
        <v>199</v>
      </c>
      <c r="E5" t="s">
        <v>203</v>
      </c>
      <c r="F5" s="10">
        <v>0.17499999999999999</v>
      </c>
      <c r="G5">
        <v>450</v>
      </c>
      <c r="H5">
        <v>0.15000000000000002</v>
      </c>
    </row>
    <row r="6" spans="1:8" x14ac:dyDescent="0.2">
      <c r="A6" t="s">
        <v>20</v>
      </c>
      <c r="B6">
        <v>25</v>
      </c>
      <c r="C6">
        <v>0.8</v>
      </c>
      <c r="D6" t="s">
        <v>199</v>
      </c>
      <c r="E6" t="s">
        <v>204</v>
      </c>
      <c r="F6" s="8">
        <v>0.25</v>
      </c>
      <c r="G6">
        <v>570</v>
      </c>
      <c r="H6">
        <v>0.2</v>
      </c>
    </row>
    <row r="7" spans="1:8" x14ac:dyDescent="0.2">
      <c r="A7" t="s">
        <v>22</v>
      </c>
      <c r="B7">
        <v>25</v>
      </c>
      <c r="C7">
        <v>0.8</v>
      </c>
      <c r="D7" t="s">
        <v>199</v>
      </c>
      <c r="E7" t="s">
        <v>205</v>
      </c>
      <c r="F7" s="10">
        <v>0.22500000000000001</v>
      </c>
      <c r="G7">
        <v>525</v>
      </c>
      <c r="H7">
        <v>0.15000000000000002</v>
      </c>
    </row>
    <row r="8" spans="1:8" x14ac:dyDescent="0.2">
      <c r="A8" t="s">
        <v>24</v>
      </c>
      <c r="B8">
        <v>55</v>
      </c>
      <c r="C8">
        <v>3</v>
      </c>
      <c r="D8" t="s">
        <v>206</v>
      </c>
      <c r="E8" t="s">
        <v>207</v>
      </c>
      <c r="F8" s="10">
        <v>0.27500000000000002</v>
      </c>
      <c r="G8">
        <v>370</v>
      </c>
      <c r="H8">
        <v>7.5000000000000011E-2</v>
      </c>
    </row>
    <row r="20" spans="1:3" x14ac:dyDescent="0.2">
      <c r="A20" t="s">
        <v>208</v>
      </c>
      <c r="B20" s="8">
        <v>0.15</v>
      </c>
    </row>
    <row r="21" spans="1:3" x14ac:dyDescent="0.2">
      <c r="A21" t="s">
        <v>209</v>
      </c>
      <c r="B21" s="8">
        <v>0.55000000000000004</v>
      </c>
    </row>
    <row r="22" spans="1:3" x14ac:dyDescent="0.2">
      <c r="A22" t="s">
        <v>210</v>
      </c>
      <c r="B22" s="8">
        <v>0.75</v>
      </c>
    </row>
    <row r="28" spans="1:3" ht="25.5" x14ac:dyDescent="0.2">
      <c r="A28" s="21" t="s">
        <v>211</v>
      </c>
      <c r="B28" s="20">
        <v>1.7450000000000001</v>
      </c>
      <c r="C28" s="19" t="s">
        <v>212</v>
      </c>
    </row>
    <row r="29" spans="1:3" x14ac:dyDescent="0.2">
      <c r="A29" t="s">
        <v>213</v>
      </c>
      <c r="B29">
        <v>27.676293847226439</v>
      </c>
      <c r="C29" t="s">
        <v>214</v>
      </c>
    </row>
    <row r="32" spans="1:3" ht="20.25" x14ac:dyDescent="0.3">
      <c r="A32" s="15" t="s">
        <v>215</v>
      </c>
    </row>
    <row r="33" spans="1:41" ht="19.899999999999999" customHeight="1" x14ac:dyDescent="0.3">
      <c r="A33" s="15"/>
    </row>
    <row r="35" spans="1:41" ht="25.5" x14ac:dyDescent="0.2">
      <c r="A35" s="6" t="s">
        <v>191</v>
      </c>
      <c r="B35" s="6" t="s">
        <v>192</v>
      </c>
      <c r="C35" s="6" t="s">
        <v>220</v>
      </c>
      <c r="D35" s="6" t="s">
        <v>194</v>
      </c>
      <c r="E35" s="6" t="s">
        <v>195</v>
      </c>
      <c r="F35" s="6" t="s">
        <v>196</v>
      </c>
      <c r="G35" s="6" t="s">
        <v>221</v>
      </c>
      <c r="H35" s="6" t="s">
        <v>198</v>
      </c>
    </row>
    <row r="36" spans="1:41" x14ac:dyDescent="0.2">
      <c r="A36" t="s">
        <v>14</v>
      </c>
      <c r="B36">
        <v>33.5</v>
      </c>
      <c r="C36">
        <v>150</v>
      </c>
      <c r="D36" t="s">
        <v>199</v>
      </c>
      <c r="E36" t="s">
        <v>200</v>
      </c>
      <c r="F36" s="10">
        <v>0.27500000000000002</v>
      </c>
      <c r="G36">
        <v>0.495</v>
      </c>
      <c r="H36">
        <v>7.5000000000000011E-2</v>
      </c>
      <c r="N36" s="16"/>
      <c r="P36" s="16"/>
      <c r="Q36" s="16"/>
      <c r="R36" s="16"/>
      <c r="S36" s="16"/>
      <c r="T36" s="16"/>
      <c r="U36" s="16"/>
      <c r="V36" s="16"/>
      <c r="W36" s="16"/>
      <c r="X36" s="16"/>
      <c r="Y36" s="16"/>
      <c r="Z36" s="16"/>
      <c r="AA36" s="16"/>
      <c r="AC36" s="16"/>
      <c r="AE36" s="16"/>
      <c r="AF36" s="16"/>
      <c r="AG36" s="16"/>
      <c r="AH36" s="16"/>
      <c r="AI36" s="16"/>
      <c r="AJ36" s="16"/>
      <c r="AK36" s="16"/>
      <c r="AL36" s="16"/>
      <c r="AM36" s="16"/>
      <c r="AN36" s="16"/>
      <c r="AO36" s="16"/>
    </row>
    <row r="37" spans="1:41" x14ac:dyDescent="0.2">
      <c r="A37" t="s">
        <v>16</v>
      </c>
      <c r="B37">
        <v>67.5</v>
      </c>
      <c r="C37">
        <v>175</v>
      </c>
      <c r="D37" t="s">
        <v>199</v>
      </c>
      <c r="E37" t="s">
        <v>201</v>
      </c>
      <c r="F37" s="10">
        <v>0.22500000000000001</v>
      </c>
      <c r="G37">
        <v>0.51</v>
      </c>
      <c r="H37">
        <v>0.125</v>
      </c>
      <c r="N37" s="16"/>
      <c r="P37" s="16"/>
      <c r="Q37" s="16"/>
      <c r="R37" s="16"/>
      <c r="S37" s="16"/>
      <c r="T37" s="16"/>
      <c r="U37" s="16"/>
      <c r="V37" s="16"/>
      <c r="W37" s="16"/>
      <c r="X37" s="16"/>
      <c r="Y37" s="16"/>
      <c r="Z37" s="16"/>
      <c r="AC37" s="16"/>
      <c r="AE37" s="16"/>
      <c r="AF37" s="16"/>
      <c r="AG37" s="16"/>
      <c r="AH37" s="16"/>
      <c r="AI37" s="16"/>
      <c r="AJ37" s="16"/>
      <c r="AK37" s="16"/>
      <c r="AL37" s="16"/>
      <c r="AM37" s="16"/>
      <c r="AN37" s="16"/>
      <c r="AO37" s="16"/>
    </row>
    <row r="38" spans="1:41" x14ac:dyDescent="0.2">
      <c r="A38" t="s">
        <v>17</v>
      </c>
      <c r="B38">
        <v>55</v>
      </c>
      <c r="C38">
        <v>125</v>
      </c>
      <c r="D38" t="s">
        <v>199</v>
      </c>
      <c r="E38" t="s">
        <v>202</v>
      </c>
      <c r="F38" s="10">
        <v>0.22500000000000001</v>
      </c>
      <c r="G38">
        <v>0.46500000000000002</v>
      </c>
      <c r="H38">
        <v>0.15000000000000002</v>
      </c>
      <c r="N38" s="16"/>
      <c r="P38" s="16"/>
      <c r="Q38" s="16"/>
      <c r="R38" s="16"/>
      <c r="S38" s="16"/>
      <c r="T38" s="16"/>
      <c r="U38" s="16"/>
      <c r="V38" s="16"/>
      <c r="W38" s="16"/>
      <c r="X38" s="16"/>
      <c r="Y38" s="16"/>
      <c r="Z38" s="16"/>
      <c r="AC38" s="16"/>
      <c r="AE38" s="16"/>
      <c r="AF38" s="16"/>
      <c r="AG38" s="16"/>
      <c r="AH38" s="16"/>
      <c r="AI38" s="16"/>
      <c r="AJ38" s="16"/>
      <c r="AK38" s="16"/>
      <c r="AL38" s="16"/>
      <c r="AM38" s="16"/>
      <c r="AN38" s="16"/>
      <c r="AO38" s="16"/>
    </row>
    <row r="39" spans="1:41" x14ac:dyDescent="0.2">
      <c r="A39" t="s">
        <v>18</v>
      </c>
      <c r="B39">
        <v>40</v>
      </c>
      <c r="C39">
        <v>90</v>
      </c>
      <c r="D39" t="s">
        <v>199</v>
      </c>
      <c r="E39" t="s">
        <v>203</v>
      </c>
      <c r="F39" s="10">
        <v>0.17499999999999999</v>
      </c>
      <c r="G39">
        <v>0.45</v>
      </c>
      <c r="H39">
        <v>0.15000000000000002</v>
      </c>
      <c r="N39" s="16"/>
      <c r="P39" s="16"/>
      <c r="Q39" s="16"/>
      <c r="R39" s="16"/>
      <c r="S39" s="16"/>
      <c r="T39" s="16"/>
      <c r="U39" s="16"/>
      <c r="V39" s="16"/>
      <c r="W39" s="16"/>
      <c r="X39" s="16"/>
      <c r="Y39" s="16"/>
      <c r="Z39" s="16"/>
      <c r="AC39" s="16"/>
      <c r="AE39" s="16"/>
      <c r="AF39" s="16"/>
      <c r="AG39" s="16"/>
      <c r="AH39" s="16"/>
      <c r="AI39" s="16"/>
      <c r="AJ39" s="16"/>
      <c r="AK39" s="16"/>
      <c r="AL39" s="16"/>
      <c r="AM39" s="16"/>
      <c r="AN39" s="16"/>
      <c r="AO39" s="16"/>
    </row>
    <row r="40" spans="1:41" x14ac:dyDescent="0.2">
      <c r="A40" t="s">
        <v>20</v>
      </c>
      <c r="B40">
        <v>25</v>
      </c>
      <c r="C40">
        <v>80</v>
      </c>
      <c r="D40" t="s">
        <v>199</v>
      </c>
      <c r="E40" t="s">
        <v>204</v>
      </c>
      <c r="F40" s="8">
        <v>0.25</v>
      </c>
      <c r="G40">
        <v>0.56999999999999995</v>
      </c>
      <c r="H40">
        <v>0.2</v>
      </c>
      <c r="N40" s="16"/>
      <c r="P40" s="16"/>
      <c r="Q40" s="16"/>
      <c r="R40" s="16"/>
      <c r="S40" s="16"/>
      <c r="T40" s="16"/>
      <c r="U40" s="16"/>
      <c r="V40" s="16"/>
      <c r="W40" s="16"/>
      <c r="X40" s="16"/>
      <c r="Y40" s="16"/>
      <c r="Z40" s="16"/>
      <c r="AC40" s="16"/>
      <c r="AE40" s="16"/>
      <c r="AF40" s="16"/>
      <c r="AG40" s="16"/>
      <c r="AH40" s="16"/>
      <c r="AI40" s="16"/>
      <c r="AJ40" s="16"/>
      <c r="AK40" s="16"/>
      <c r="AL40" s="16"/>
      <c r="AM40" s="16"/>
      <c r="AN40" s="16"/>
      <c r="AO40" s="16"/>
    </row>
    <row r="41" spans="1:41" x14ac:dyDescent="0.2">
      <c r="A41" t="s">
        <v>22</v>
      </c>
      <c r="B41">
        <v>25</v>
      </c>
      <c r="C41">
        <v>80</v>
      </c>
      <c r="D41" t="s">
        <v>199</v>
      </c>
      <c r="E41" t="s">
        <v>205</v>
      </c>
      <c r="F41" s="10">
        <v>0.22500000000000001</v>
      </c>
      <c r="G41">
        <v>0.52500000000000002</v>
      </c>
      <c r="H41">
        <v>0.15000000000000002</v>
      </c>
      <c r="N41" s="16"/>
      <c r="P41" s="16"/>
      <c r="Q41" s="16"/>
      <c r="R41" s="16"/>
      <c r="S41" s="16"/>
      <c r="T41" s="16"/>
      <c r="U41" s="16"/>
      <c r="V41" s="16"/>
      <c r="W41" s="16"/>
      <c r="X41" s="16"/>
      <c r="Y41" s="16"/>
      <c r="Z41" s="16"/>
      <c r="AC41" s="16"/>
      <c r="AE41" s="16"/>
      <c r="AF41" s="16"/>
      <c r="AG41" s="16"/>
      <c r="AH41" s="16"/>
      <c r="AI41" s="16"/>
      <c r="AJ41" s="16"/>
      <c r="AK41" s="16"/>
      <c r="AL41" s="16"/>
      <c r="AM41" s="16"/>
      <c r="AN41" s="16"/>
      <c r="AO41" s="16"/>
    </row>
    <row r="42" spans="1:41" x14ac:dyDescent="0.2">
      <c r="A42" t="s">
        <v>24</v>
      </c>
      <c r="B42">
        <v>55</v>
      </c>
      <c r="C42">
        <v>30</v>
      </c>
      <c r="D42" t="s">
        <v>206</v>
      </c>
      <c r="E42" t="s">
        <v>207</v>
      </c>
      <c r="F42" s="10">
        <v>0.27500000000000002</v>
      </c>
      <c r="G42">
        <v>0.37</v>
      </c>
      <c r="H42">
        <v>7.5000000000000011E-2</v>
      </c>
      <c r="N42" s="16"/>
      <c r="P42" s="16"/>
      <c r="Q42" s="16"/>
      <c r="R42" s="16"/>
      <c r="S42" s="16"/>
      <c r="T42" s="16"/>
      <c r="U42" s="16"/>
      <c r="V42" s="16"/>
      <c r="W42" s="16"/>
      <c r="X42" s="16"/>
      <c r="Y42" s="16"/>
      <c r="Z42" s="16"/>
      <c r="AC42" s="16"/>
      <c r="AE42" s="16"/>
      <c r="AF42" s="16"/>
      <c r="AG42" s="16"/>
      <c r="AH42" s="16"/>
      <c r="AI42" s="16"/>
      <c r="AJ42" s="16"/>
      <c r="AK42" s="16"/>
      <c r="AL42" s="16"/>
      <c r="AM42" s="16"/>
      <c r="AN42" s="16"/>
      <c r="AO42" s="16"/>
    </row>
    <row r="47" spans="1:41" x14ac:dyDescent="0.2">
      <c r="N47" s="16"/>
      <c r="P47" s="16"/>
      <c r="Q47" s="16"/>
      <c r="R47" s="16"/>
      <c r="S47" s="16"/>
      <c r="T47" s="16"/>
      <c r="U47" s="16"/>
      <c r="V47" s="16"/>
      <c r="W47" s="16"/>
      <c r="X47" s="16"/>
      <c r="Y47" s="16"/>
    </row>
    <row r="48" spans="1:41" x14ac:dyDescent="0.2">
      <c r="N48" s="16"/>
      <c r="P48" s="16"/>
      <c r="Q48" s="16"/>
      <c r="R48" s="16"/>
      <c r="S48" s="16"/>
      <c r="T48" s="16"/>
      <c r="U48" s="16"/>
      <c r="V48" s="16"/>
      <c r="W48" s="16"/>
      <c r="X48" s="16"/>
      <c r="Y48" s="16"/>
    </row>
    <row r="49" spans="14:31" x14ac:dyDescent="0.2">
      <c r="N49" s="16"/>
      <c r="P49" s="16"/>
      <c r="Q49" s="16"/>
      <c r="R49" s="16"/>
      <c r="S49" s="16"/>
      <c r="T49" s="16"/>
      <c r="U49" s="16"/>
      <c r="V49" s="16"/>
      <c r="W49" s="16"/>
      <c r="X49" s="16"/>
      <c r="Y49" s="16"/>
    </row>
    <row r="50" spans="14:31" x14ac:dyDescent="0.2">
      <c r="N50" s="16"/>
      <c r="P50" s="16"/>
      <c r="Q50" s="16"/>
      <c r="R50" s="16"/>
      <c r="S50" s="16"/>
      <c r="T50" s="16"/>
      <c r="U50" s="16"/>
      <c r="V50" s="16"/>
      <c r="W50" s="16"/>
      <c r="X50" s="16"/>
      <c r="Y50" s="16"/>
    </row>
    <row r="51" spans="14:31" x14ac:dyDescent="0.2">
      <c r="N51" s="16"/>
      <c r="P51" s="16"/>
      <c r="Q51" s="16"/>
      <c r="R51" s="16"/>
      <c r="S51" s="16"/>
      <c r="T51" s="16"/>
      <c r="U51" s="16"/>
      <c r="V51" s="16"/>
      <c r="W51" s="16"/>
      <c r="X51" s="16"/>
      <c r="Y51" s="16"/>
    </row>
    <row r="52" spans="14:31" x14ac:dyDescent="0.2">
      <c r="N52" s="16"/>
      <c r="P52" s="16"/>
      <c r="Q52" s="16"/>
      <c r="R52" s="16"/>
      <c r="S52" s="16"/>
      <c r="T52" s="16"/>
      <c r="U52" s="16"/>
      <c r="V52" s="16"/>
      <c r="W52" s="16"/>
      <c r="X52" s="16"/>
      <c r="Y52" s="16"/>
    </row>
    <row r="53" spans="14:31" x14ac:dyDescent="0.2">
      <c r="N53" s="16"/>
      <c r="P53" s="16"/>
      <c r="Q53" s="16"/>
      <c r="R53" s="16"/>
      <c r="S53" s="16"/>
      <c r="T53" s="16"/>
      <c r="U53" s="16"/>
      <c r="V53" s="16"/>
      <c r="W53" s="16"/>
      <c r="X53" s="16"/>
      <c r="Y53" s="16"/>
    </row>
    <row r="56" spans="14:31" x14ac:dyDescent="0.2">
      <c r="N56" s="74"/>
      <c r="O56" s="74"/>
      <c r="P56" s="74"/>
      <c r="Q56" s="74"/>
      <c r="R56" s="74"/>
      <c r="S56" s="74"/>
      <c r="T56" s="74"/>
      <c r="U56" s="74"/>
      <c r="V56" s="74"/>
      <c r="W56" s="74"/>
      <c r="X56" s="74"/>
      <c r="Y56" s="74"/>
    </row>
    <row r="58" spans="14:31" x14ac:dyDescent="0.2">
      <c r="N58" s="16"/>
      <c r="AC58" s="16"/>
      <c r="AE58" s="16"/>
    </row>
    <row r="59" spans="14:31" x14ac:dyDescent="0.2">
      <c r="N59" s="16"/>
      <c r="AC59" s="16"/>
      <c r="AE59" s="16"/>
    </row>
    <row r="60" spans="14:31" x14ac:dyDescent="0.2">
      <c r="N60" s="16"/>
      <c r="AC60" s="16"/>
      <c r="AE60" s="16"/>
    </row>
    <row r="61" spans="14:31" x14ac:dyDescent="0.2">
      <c r="N61" s="16"/>
      <c r="AC61" s="16"/>
      <c r="AE61" s="16"/>
    </row>
    <row r="62" spans="14:31" x14ac:dyDescent="0.2">
      <c r="N62" s="16"/>
      <c r="AC62" s="16"/>
      <c r="AE62" s="16"/>
    </row>
    <row r="63" spans="14:31" x14ac:dyDescent="0.2">
      <c r="N63" s="16"/>
      <c r="AC63" s="16"/>
      <c r="AE63" s="16"/>
    </row>
    <row r="64" spans="14:31" x14ac:dyDescent="0.2">
      <c r="N64" s="16"/>
      <c r="AC64" s="16"/>
      <c r="AE64" s="16"/>
    </row>
  </sheetData>
  <mergeCells count="1">
    <mergeCell ref="N56:Y56"/>
  </mergeCells>
  <phoneticPr fontId="8" type="noConversion"/>
  <dataValidations disablePrompts="1" count="1">
    <dataValidation type="list" allowBlank="1" showInputMessage="1" showErrorMessage="1" sqref="K37" xr:uid="{C2303CF8-D7FD-47E3-B213-5A66F4521019}">
      <formula1>"1,2,3,4,5,6,7,8,9,10"</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FE680-A3D4-4725-BED7-96B53EC472B5}">
  <dimension ref="A1:BV77"/>
  <sheetViews>
    <sheetView zoomScaleNormal="100" workbookViewId="0">
      <selection activeCell="E53" sqref="E53"/>
    </sheetView>
  </sheetViews>
  <sheetFormatPr defaultRowHeight="12.75" x14ac:dyDescent="0.2"/>
  <cols>
    <col min="1" max="1" width="19" bestFit="1" customWidth="1"/>
    <col min="2" max="2" width="9.5703125" bestFit="1" customWidth="1"/>
    <col min="3" max="3" width="8.85546875" customWidth="1"/>
    <col min="4" max="4" width="25.28515625" bestFit="1" customWidth="1"/>
    <col min="5" max="5" width="32.7109375" bestFit="1" customWidth="1"/>
    <col min="6" max="6" width="15" bestFit="1" customWidth="1"/>
    <col min="7" max="7" width="19.28515625" bestFit="1" customWidth="1"/>
    <col min="8" max="8" width="16.7109375" customWidth="1"/>
    <col min="13" max="13" width="18.140625" bestFit="1" customWidth="1"/>
    <col min="14" max="14" width="9.5703125" bestFit="1" customWidth="1"/>
    <col min="15" max="15" width="5.7109375" bestFit="1" customWidth="1"/>
    <col min="16" max="16" width="8.5703125" bestFit="1" customWidth="1"/>
    <col min="17" max="25" width="9.5703125" bestFit="1" customWidth="1"/>
    <col min="27" max="27" width="9.7109375" bestFit="1" customWidth="1"/>
    <col min="28" max="28" width="18.42578125" bestFit="1" customWidth="1"/>
    <col min="29" max="29" width="9.7109375" bestFit="1" customWidth="1"/>
    <col min="31" max="31" width="9.5703125" bestFit="1" customWidth="1"/>
    <col min="42" max="42" width="18.140625" bestFit="1" customWidth="1"/>
    <col min="43" max="48" width="9.7109375" bestFit="1" customWidth="1"/>
    <col min="49" max="52" width="9" bestFit="1" customWidth="1"/>
    <col min="54" max="62" width="10.7109375" bestFit="1" customWidth="1"/>
    <col min="63" max="63" width="9.7109375" bestFit="1" customWidth="1"/>
    <col min="64" max="64" width="18.42578125" bestFit="1" customWidth="1"/>
    <col min="68" max="74" width="9.7109375" bestFit="1" customWidth="1"/>
  </cols>
  <sheetData>
    <row r="1" spans="1:8" ht="25.5" x14ac:dyDescent="0.2">
      <c r="A1" s="6" t="s">
        <v>191</v>
      </c>
      <c r="B1" s="6" t="s">
        <v>192</v>
      </c>
      <c r="C1" s="6" t="s">
        <v>193</v>
      </c>
      <c r="D1" s="6" t="s">
        <v>194</v>
      </c>
      <c r="E1" s="6" t="s">
        <v>195</v>
      </c>
      <c r="F1" s="6" t="s">
        <v>196</v>
      </c>
      <c r="G1" s="6" t="s">
        <v>197</v>
      </c>
      <c r="H1" s="6" t="s">
        <v>198</v>
      </c>
    </row>
    <row r="2" spans="1:8" x14ac:dyDescent="0.2">
      <c r="A2" t="s">
        <v>14</v>
      </c>
      <c r="B2">
        <v>33.5</v>
      </c>
      <c r="C2">
        <v>1.5</v>
      </c>
      <c r="D2" t="s">
        <v>199</v>
      </c>
      <c r="E2" t="s">
        <v>200</v>
      </c>
      <c r="F2" s="10">
        <v>0.27500000000000002</v>
      </c>
      <c r="G2">
        <v>495</v>
      </c>
      <c r="H2">
        <v>7.5000000000000011E-2</v>
      </c>
    </row>
    <row r="3" spans="1:8" x14ac:dyDescent="0.2">
      <c r="A3" t="s">
        <v>16</v>
      </c>
      <c r="B3">
        <v>67.5</v>
      </c>
      <c r="C3">
        <v>1.75</v>
      </c>
      <c r="D3" t="s">
        <v>199</v>
      </c>
      <c r="E3" t="s">
        <v>201</v>
      </c>
      <c r="F3" s="10">
        <v>0.22500000000000001</v>
      </c>
      <c r="G3">
        <v>510</v>
      </c>
      <c r="H3">
        <v>0.125</v>
      </c>
    </row>
    <row r="4" spans="1:8" x14ac:dyDescent="0.2">
      <c r="A4" t="s">
        <v>17</v>
      </c>
      <c r="B4">
        <v>55</v>
      </c>
      <c r="C4">
        <v>1.25</v>
      </c>
      <c r="D4" t="s">
        <v>199</v>
      </c>
      <c r="E4" t="s">
        <v>202</v>
      </c>
      <c r="F4" s="10">
        <v>0.22500000000000001</v>
      </c>
      <c r="G4">
        <v>465</v>
      </c>
      <c r="H4">
        <v>0.15000000000000002</v>
      </c>
    </row>
    <row r="5" spans="1:8" x14ac:dyDescent="0.2">
      <c r="A5" t="s">
        <v>18</v>
      </c>
      <c r="B5">
        <v>40</v>
      </c>
      <c r="C5">
        <v>0.9</v>
      </c>
      <c r="D5" t="s">
        <v>199</v>
      </c>
      <c r="E5" t="s">
        <v>203</v>
      </c>
      <c r="F5" s="10">
        <v>0.17499999999999999</v>
      </c>
      <c r="G5">
        <v>450</v>
      </c>
      <c r="H5">
        <v>0.15000000000000002</v>
      </c>
    </row>
    <row r="6" spans="1:8" x14ac:dyDescent="0.2">
      <c r="A6" t="s">
        <v>20</v>
      </c>
      <c r="B6">
        <v>25</v>
      </c>
      <c r="C6">
        <v>0.8</v>
      </c>
      <c r="D6" t="s">
        <v>199</v>
      </c>
      <c r="E6" t="s">
        <v>204</v>
      </c>
      <c r="F6" s="8">
        <v>0.25</v>
      </c>
      <c r="G6">
        <v>570</v>
      </c>
      <c r="H6">
        <v>0.2</v>
      </c>
    </row>
    <row r="7" spans="1:8" x14ac:dyDescent="0.2">
      <c r="A7" t="s">
        <v>22</v>
      </c>
      <c r="B7">
        <v>25</v>
      </c>
      <c r="C7">
        <v>0.8</v>
      </c>
      <c r="D7" t="s">
        <v>199</v>
      </c>
      <c r="E7" t="s">
        <v>205</v>
      </c>
      <c r="F7" s="10">
        <v>0.22500000000000001</v>
      </c>
      <c r="G7">
        <v>525</v>
      </c>
      <c r="H7">
        <v>0.15000000000000002</v>
      </c>
    </row>
    <row r="8" spans="1:8" x14ac:dyDescent="0.2">
      <c r="A8" t="s">
        <v>24</v>
      </c>
      <c r="B8">
        <v>55</v>
      </c>
      <c r="C8">
        <v>3</v>
      </c>
      <c r="D8" t="s">
        <v>206</v>
      </c>
      <c r="E8" t="s">
        <v>207</v>
      </c>
      <c r="F8" s="10">
        <v>0.27500000000000002</v>
      </c>
      <c r="G8">
        <v>370</v>
      </c>
      <c r="H8">
        <v>7.5000000000000011E-2</v>
      </c>
    </row>
    <row r="20" spans="1:3" x14ac:dyDescent="0.2">
      <c r="A20" t="s">
        <v>208</v>
      </c>
      <c r="B20" s="8">
        <v>0.15</v>
      </c>
    </row>
    <row r="21" spans="1:3" x14ac:dyDescent="0.2">
      <c r="A21" t="s">
        <v>209</v>
      </c>
      <c r="B21" s="8">
        <v>0.55000000000000004</v>
      </c>
    </row>
    <row r="22" spans="1:3" x14ac:dyDescent="0.2">
      <c r="A22" t="s">
        <v>210</v>
      </c>
      <c r="B22" s="8">
        <v>0.75</v>
      </c>
    </row>
    <row r="28" spans="1:3" ht="25.5" x14ac:dyDescent="0.2">
      <c r="A28" s="21" t="s">
        <v>211</v>
      </c>
      <c r="B28" s="20">
        <v>1.7450000000000001</v>
      </c>
      <c r="C28" s="19" t="s">
        <v>212</v>
      </c>
    </row>
    <row r="29" spans="1:3" x14ac:dyDescent="0.2">
      <c r="A29" t="s">
        <v>213</v>
      </c>
      <c r="B29">
        <v>977.38</v>
      </c>
    </row>
    <row r="32" spans="1:3" ht="20.25" x14ac:dyDescent="0.3">
      <c r="A32" s="15" t="s">
        <v>215</v>
      </c>
    </row>
    <row r="33" spans="1:74" ht="19.899999999999999" customHeight="1" x14ac:dyDescent="0.3">
      <c r="A33" s="15"/>
      <c r="BB33" s="16"/>
      <c r="BC33" s="16"/>
      <c r="BD33" s="16"/>
      <c r="BE33" s="16"/>
      <c r="BF33" s="16"/>
      <c r="BG33" s="16"/>
      <c r="BH33" s="16"/>
      <c r="BI33" s="16"/>
      <c r="BJ33" s="16"/>
      <c r="BK33" s="16"/>
      <c r="BL33" s="16"/>
      <c r="BM33" s="16"/>
      <c r="BN33" s="16"/>
      <c r="BO33" s="16"/>
      <c r="BP33" s="16"/>
      <c r="BQ33" s="16"/>
      <c r="BR33" s="16"/>
      <c r="BS33" s="16"/>
      <c r="BT33" s="16"/>
      <c r="BU33" s="16"/>
      <c r="BV33" s="16"/>
    </row>
    <row r="34" spans="1:74" x14ac:dyDescent="0.2">
      <c r="P34" t="s">
        <v>219</v>
      </c>
      <c r="AE34" t="s">
        <v>216</v>
      </c>
      <c r="AQ34" t="s">
        <v>217</v>
      </c>
    </row>
    <row r="35" spans="1:74" ht="25.5" x14ac:dyDescent="0.2">
      <c r="A35" s="6" t="s">
        <v>191</v>
      </c>
      <c r="B35" s="6" t="s">
        <v>192</v>
      </c>
      <c r="C35" s="6" t="s">
        <v>220</v>
      </c>
      <c r="D35" s="6" t="s">
        <v>194</v>
      </c>
      <c r="E35" s="6" t="s">
        <v>195</v>
      </c>
      <c r="F35" s="6" t="s">
        <v>196</v>
      </c>
      <c r="G35" s="6" t="s">
        <v>221</v>
      </c>
      <c r="H35" s="6" t="s">
        <v>198</v>
      </c>
      <c r="N35" t="s">
        <v>222</v>
      </c>
      <c r="O35" t="s">
        <v>223</v>
      </c>
      <c r="P35" t="s">
        <v>224</v>
      </c>
      <c r="Q35">
        <v>1</v>
      </c>
      <c r="R35">
        <v>2</v>
      </c>
      <c r="S35">
        <v>3</v>
      </c>
      <c r="T35">
        <v>4</v>
      </c>
      <c r="U35">
        <v>5</v>
      </c>
      <c r="V35">
        <v>6</v>
      </c>
      <c r="W35">
        <v>7</v>
      </c>
      <c r="X35">
        <v>8</v>
      </c>
      <c r="Y35">
        <v>9</v>
      </c>
      <c r="Z35">
        <v>10</v>
      </c>
      <c r="AC35" t="s">
        <v>222</v>
      </c>
      <c r="AD35" t="s">
        <v>223</v>
      </c>
      <c r="AE35">
        <v>1</v>
      </c>
      <c r="AF35">
        <v>2</v>
      </c>
      <c r="AG35">
        <v>3</v>
      </c>
      <c r="AH35">
        <v>4</v>
      </c>
      <c r="AI35">
        <v>5</v>
      </c>
      <c r="AJ35">
        <v>6</v>
      </c>
      <c r="AK35">
        <v>7</v>
      </c>
      <c r="AL35">
        <v>8</v>
      </c>
      <c r="AM35">
        <v>9</v>
      </c>
      <c r="AN35">
        <v>10</v>
      </c>
      <c r="AQ35">
        <v>1</v>
      </c>
      <c r="AR35">
        <v>2</v>
      </c>
      <c r="AS35">
        <v>3</v>
      </c>
      <c r="AT35">
        <v>4</v>
      </c>
      <c r="AU35">
        <v>5</v>
      </c>
      <c r="AV35">
        <v>6</v>
      </c>
      <c r="AW35">
        <v>7</v>
      </c>
      <c r="AX35">
        <v>8</v>
      </c>
      <c r="AY35">
        <v>9</v>
      </c>
      <c r="AZ35">
        <v>10</v>
      </c>
      <c r="BB35" s="16"/>
      <c r="BC35" s="16"/>
      <c r="BD35" s="16"/>
      <c r="BE35" s="16"/>
      <c r="BF35" s="16"/>
      <c r="BG35" s="16"/>
      <c r="BH35" s="16"/>
      <c r="BI35" s="16"/>
      <c r="BJ35" s="16"/>
      <c r="BK35" s="16"/>
      <c r="BL35" s="16"/>
      <c r="BM35" s="16"/>
      <c r="BN35" s="16"/>
      <c r="BO35" s="16"/>
      <c r="BP35" s="16"/>
      <c r="BQ35" s="16"/>
      <c r="BR35" s="16"/>
      <c r="BS35" s="16"/>
      <c r="BT35" s="16"/>
      <c r="BU35" s="16"/>
      <c r="BV35" s="16"/>
    </row>
    <row r="36" spans="1:74" x14ac:dyDescent="0.2">
      <c r="A36" t="s">
        <v>14</v>
      </c>
      <c r="B36">
        <v>33.5</v>
      </c>
      <c r="C36">
        <v>150</v>
      </c>
      <c r="D36" t="s">
        <v>199</v>
      </c>
      <c r="E36" t="s">
        <v>200</v>
      </c>
      <c r="F36" s="10">
        <v>0.27500000000000002</v>
      </c>
      <c r="G36">
        <v>0.495</v>
      </c>
      <c r="H36">
        <v>7.5000000000000011E-2</v>
      </c>
      <c r="M36" t="s">
        <v>14</v>
      </c>
      <c r="N36" s="16">
        <f>VLOOKUP(M36,$A$1:$H$8,6,FALSE)*'Calculator Interface'!$S$14</f>
        <v>81023.803733333334</v>
      </c>
      <c r="O36">
        <f t="shared" ref="O36:O42" si="0">VLOOKUP(M36,$A$1:$H$8,8,FALSE)</f>
        <v>7.5000000000000011E-2</v>
      </c>
      <c r="P36" s="16">
        <f>$N36*EXP(-$O36*$K$37)</f>
        <v>41253.789892872577</v>
      </c>
      <c r="Q36" s="16">
        <f>$N36*EXP(-$O36*Q$35)</f>
        <v>75169.30615116308</v>
      </c>
      <c r="R36" s="16">
        <f t="shared" ref="R36:Z36" si="1">$N36*EXP(-$O36*R$35)</f>
        <v>69737.834153578384</v>
      </c>
      <c r="S36" s="16">
        <f t="shared" si="1"/>
        <v>64698.821386643234</v>
      </c>
      <c r="T36" s="16">
        <f t="shared" si="1"/>
        <v>60023.910114592727</v>
      </c>
      <c r="U36" s="16">
        <f t="shared" si="1"/>
        <v>55686.791632783941</v>
      </c>
      <c r="V36" s="16">
        <f t="shared" si="1"/>
        <v>51663.058211850665</v>
      </c>
      <c r="W36" s="16">
        <f t="shared" si="1"/>
        <v>47930.065739857302</v>
      </c>
      <c r="X36" s="16">
        <f t="shared" si="1"/>
        <v>44466.806289451953</v>
      </c>
      <c r="Y36" s="16">
        <f t="shared" si="1"/>
        <v>41253.789892872577</v>
      </c>
      <c r="Z36" s="16">
        <f t="shared" si="1"/>
        <v>38272.934859479217</v>
      </c>
      <c r="AA36" s="16"/>
      <c r="AB36" t="s">
        <v>14</v>
      </c>
      <c r="AC36" s="16">
        <f>VLOOKUP(AB36,$A$1:$H$8,6,FALSE)*'Calculator Interface'!$S$14</f>
        <v>81023.803733333334</v>
      </c>
      <c r="AD36">
        <f t="shared" ref="AD36:AD42" si="2">VLOOKUP(AB36,$A$1:$H$8,8,FALSE)</f>
        <v>7.5000000000000011E-2</v>
      </c>
      <c r="AE36" s="16">
        <f>N36-Q36</f>
        <v>5854.4975821702537</v>
      </c>
      <c r="AF36" s="16">
        <f>Q36-R36</f>
        <v>5431.4719975846965</v>
      </c>
      <c r="AG36" s="16">
        <f>R36-S36</f>
        <v>5039.0127669351496</v>
      </c>
      <c r="AH36" s="16">
        <f t="shared" ref="AH36:AN42" si="3">S36-T36</f>
        <v>4674.9112720505073</v>
      </c>
      <c r="AI36" s="16">
        <f t="shared" si="3"/>
        <v>4337.1184818087859</v>
      </c>
      <c r="AJ36" s="16">
        <f t="shared" si="3"/>
        <v>4023.7334209332766</v>
      </c>
      <c r="AK36" s="16">
        <f t="shared" si="3"/>
        <v>3732.9924719933624</v>
      </c>
      <c r="AL36" s="16">
        <f t="shared" si="3"/>
        <v>3463.2594504053486</v>
      </c>
      <c r="AM36" s="16">
        <f t="shared" si="3"/>
        <v>3213.0163965793763</v>
      </c>
      <c r="AN36" s="16">
        <f t="shared" si="3"/>
        <v>2980.8550333933599</v>
      </c>
      <c r="AO36" s="16"/>
      <c r="AP36" t="s">
        <v>14</v>
      </c>
      <c r="AQ36" s="16">
        <f>0.0673*(VLOOKUP($AP36,$A$35:$H$42,7,FALSE)*(VLOOKUP($AP36,$A$35:$H$42,3,FALSE))^2*VLOOKUP($AP36,$A$35:$H$42,2,FALSE))^0.976*'Calculator Interface'!$W$14*AE47</f>
        <v>1100.1567294392346</v>
      </c>
      <c r="AR36" s="16">
        <f>0.0673*(VLOOKUP($AP36,$A$35:$H$42,7,FALSE)*(VLOOKUP($AP36,$A$35:$H$42,3,FALSE))^2*VLOOKUP($AP36,$A$35:$H$42,2,FALSE))^0.976*'Calculator Interface'!$W$14*AF47</f>
        <v>1020.6632396777705</v>
      </c>
      <c r="AS36" s="16">
        <f>0.0673*(VLOOKUP($AP36,$A$35:$H$42,7,FALSE)*(VLOOKUP($AP36,$A$35:$H$42,3,FALSE))^2*VLOOKUP($AP36,$A$35:$H$42,2,FALSE))^0.976*'Calculator Interface'!$W$14*AG47</f>
        <v>946.91367234605275</v>
      </c>
      <c r="AT36" s="16">
        <f>0.0673*(VLOOKUP($AP36,$A$35:$H$42,7,FALSE)*(VLOOKUP($AP36,$A$35:$H$42,3,FALSE))^2*VLOOKUP($AP36,$A$35:$H$42,2,FALSE))^0.976*'Calculator Interface'!$W$14*AH47</f>
        <v>878.49299163450075</v>
      </c>
      <c r="AU36" s="16">
        <f>0.0673*(VLOOKUP($AP36,$A$35:$H$42,7,FALSE)*(VLOOKUP($AP36,$A$35:$H$42,3,FALSE))^2*VLOOKUP($AP36,$A$35:$H$42,2,FALSE))^0.976*'Calculator Interface'!$W$14*AI47</f>
        <v>815.0161507741916</v>
      </c>
      <c r="AV36" s="16">
        <f>0.0673*(VLOOKUP($AP36,$A$35:$H$42,7,FALSE)*(VLOOKUP($AP36,$A$35:$H$42,3,FALSE))^2*VLOOKUP($AP36,$A$35:$H$42,2,FALSE))^0.976*'Calculator Interface'!$W$14*AJ47</f>
        <v>756.1259251333247</v>
      </c>
      <c r="AW36" s="16">
        <f>0.0673*(VLOOKUP($AP36,$A$35:$H$42,7,FALSE)*(VLOOKUP($AP36,$A$35:$H$42,3,FALSE))^2*VLOOKUP($AP36,$A$35:$H$42,2,FALSE))^0.976*'Calculator Interface'!$W$14*AK47</f>
        <v>701.490901886595</v>
      </c>
      <c r="AX36" s="16">
        <f>0.0673*(VLOOKUP($AP36,$A$35:$H$42,7,FALSE)*(VLOOKUP($AP36,$A$35:$H$42,3,FALSE))^2*VLOOKUP($AP36,$A$35:$H$42,2,FALSE))^0.976*'Calculator Interface'!$W$14*AL47</f>
        <v>650.80361494402734</v>
      </c>
      <c r="AY36" s="16">
        <f>0.0673*(VLOOKUP($AP36,$A$35:$H$42,7,FALSE)*(VLOOKUP($AP36,$A$35:$H$42,3,FALSE))^2*VLOOKUP($AP36,$A$35:$H$42,2,FALSE))^0.976*'Calculator Interface'!$W$14*AM47</f>
        <v>603.77881464339896</v>
      </c>
      <c r="AZ36" s="16">
        <f>0.0673*(VLOOKUP($AP36,$A$35:$H$42,7,FALSE)*(VLOOKUP($AP36,$A$35:$H$42,3,FALSE))^2*VLOOKUP($AP36,$A$35:$H$42,2,FALSE))^0.976*'Calculator Interface'!$W$14*AN47</f>
        <v>560.151862468589</v>
      </c>
    </row>
    <row r="37" spans="1:74" x14ac:dyDescent="0.2">
      <c r="A37" t="s">
        <v>16</v>
      </c>
      <c r="B37">
        <v>67.5</v>
      </c>
      <c r="C37">
        <v>175</v>
      </c>
      <c r="D37" t="s">
        <v>199</v>
      </c>
      <c r="E37" t="s">
        <v>201</v>
      </c>
      <c r="F37" s="10">
        <v>0.22500000000000001</v>
      </c>
      <c r="G37">
        <v>0.51</v>
      </c>
      <c r="H37">
        <v>0.125</v>
      </c>
      <c r="J37" s="17" t="s">
        <v>225</v>
      </c>
      <c r="K37" s="18">
        <v>9</v>
      </c>
      <c r="M37" t="s">
        <v>16</v>
      </c>
      <c r="N37" s="16">
        <f>VLOOKUP(M37,$A$1:$H$8,6,FALSE)*'Calculator Interface'!$S$14</f>
        <v>66292.203054545447</v>
      </c>
      <c r="O37">
        <f t="shared" si="0"/>
        <v>0.125</v>
      </c>
      <c r="P37" s="16">
        <f t="shared" ref="P37:P42" si="4">$N37*EXP(-$O37*$K$37)</f>
        <v>21521.927288278908</v>
      </c>
      <c r="Q37" s="16">
        <f t="shared" ref="Q37:Z42" si="5">$N37*EXP(-$O37*Q$35)</f>
        <v>58502.663861145418</v>
      </c>
      <c r="R37" s="16">
        <f t="shared" si="5"/>
        <v>51628.41965040857</v>
      </c>
      <c r="S37" s="16">
        <f t="shared" si="5"/>
        <v>45561.920426823228</v>
      </c>
      <c r="T37" s="16">
        <f t="shared" si="5"/>
        <v>40208.253652477302</v>
      </c>
      <c r="U37" s="16">
        <f t="shared" si="5"/>
        <v>35483.659306646965</v>
      </c>
      <c r="V37" s="16">
        <f t="shared" si="5"/>
        <v>31314.219430482997</v>
      </c>
      <c r="W37" s="16">
        <f t="shared" si="5"/>
        <v>27634.701654255598</v>
      </c>
      <c r="X37" s="16">
        <f t="shared" si="5"/>
        <v>24387.538613729961</v>
      </c>
      <c r="Y37" s="16">
        <f t="shared" si="5"/>
        <v>21521.927288278908</v>
      </c>
      <c r="Z37" s="16">
        <f t="shared" si="5"/>
        <v>18993.034169557017</v>
      </c>
      <c r="AB37" t="s">
        <v>16</v>
      </c>
      <c r="AC37" s="16">
        <f>VLOOKUP(AB37,$A$1:$H$8,6,FALSE)*'Calculator Interface'!$S$14</f>
        <v>66292.203054545447</v>
      </c>
      <c r="AD37">
        <f t="shared" si="2"/>
        <v>0.125</v>
      </c>
      <c r="AE37" s="16">
        <f t="shared" ref="AE37:AE42" si="6">N37-Q37</f>
        <v>7789.539193400029</v>
      </c>
      <c r="AF37" s="16">
        <f t="shared" ref="AF37:AG42" si="7">Q37-R37</f>
        <v>6874.2442107368479</v>
      </c>
      <c r="AG37" s="16">
        <f t="shared" si="7"/>
        <v>6066.4992235853424</v>
      </c>
      <c r="AH37" s="16">
        <f t="shared" si="3"/>
        <v>5353.6667743459257</v>
      </c>
      <c r="AI37" s="16">
        <f t="shared" si="3"/>
        <v>4724.5943458303373</v>
      </c>
      <c r="AJ37" s="16">
        <f t="shared" si="3"/>
        <v>4169.4398761639677</v>
      </c>
      <c r="AK37" s="16">
        <f t="shared" si="3"/>
        <v>3679.5177762273997</v>
      </c>
      <c r="AL37" s="16">
        <f t="shared" si="3"/>
        <v>3247.1630405256365</v>
      </c>
      <c r="AM37" s="16">
        <f t="shared" si="3"/>
        <v>2865.6113254510528</v>
      </c>
      <c r="AN37" s="16">
        <f t="shared" si="3"/>
        <v>2528.8931187218914</v>
      </c>
      <c r="AO37" s="16"/>
      <c r="AP37" t="s">
        <v>16</v>
      </c>
      <c r="AQ37" s="16">
        <f>0.0673*(VLOOKUP($AP37,$A$35:$H$42,7,FALSE)*(VLOOKUP($AP37,$A$35:$H$42,3,FALSE))^2*VLOOKUP($AP37,$A$35:$H$42,2,FALSE))^0.976*'Calculator Interface'!$W$14*AE48</f>
        <v>4034.2926326338934</v>
      </c>
      <c r="AR37" s="16">
        <f>0.0673*(VLOOKUP($AP37,$A$35:$H$42,7,FALSE)*(VLOOKUP($AP37,$A$35:$H$42,3,FALSE))^2*VLOOKUP($AP37,$A$35:$H$42,2,FALSE))^0.976*'Calculator Interface'!$W$14*AF48</f>
        <v>3560.250752419272</v>
      </c>
      <c r="AS37" s="16">
        <f>0.0673*(VLOOKUP($AP37,$A$35:$H$42,7,FALSE)*(VLOOKUP($AP37,$A$35:$H$42,3,FALSE))^2*VLOOKUP($AP37,$A$35:$H$42,2,FALSE))^0.976*'Calculator Interface'!$W$14*AG48</f>
        <v>3141.9102614344756</v>
      </c>
      <c r="AT37" s="16">
        <f>0.0673*(VLOOKUP($AP37,$A$35:$H$42,7,FALSE)*(VLOOKUP($AP37,$A$35:$H$42,3,FALSE))^2*VLOOKUP($AP37,$A$35:$H$42,2,FALSE))^0.976*'Calculator Interface'!$W$14*AH48</f>
        <v>2772.7260739146859</v>
      </c>
      <c r="AU37" s="16">
        <f>0.0673*(VLOOKUP($AP37,$A$35:$H$42,7,FALSE)*(VLOOKUP($AP37,$A$35:$H$42,3,FALSE))^2*VLOOKUP($AP37,$A$35:$H$42,2,FALSE))^0.976*'Calculator Interface'!$W$14*AI48</f>
        <v>2446.9221719452535</v>
      </c>
      <c r="AV37" s="16">
        <f>0.0673*(VLOOKUP($AP37,$A$35:$H$42,7,FALSE)*(VLOOKUP($AP37,$A$35:$H$42,3,FALSE))^2*VLOOKUP($AP37,$A$35:$H$42,2,FALSE))^0.976*'Calculator Interface'!$W$14*AJ48</f>
        <v>2159.4012376072587</v>
      </c>
      <c r="AW37" s="16">
        <f>0.0673*(VLOOKUP($AP37,$A$35:$H$42,7,FALSE)*(VLOOKUP($AP37,$A$35:$H$42,3,FALSE))^2*VLOOKUP($AP37,$A$35:$H$42,2,FALSE))^0.976*'Calculator Interface'!$W$14*AK48</f>
        <v>1905.664903625747</v>
      </c>
      <c r="AX37" s="16">
        <f>0.0673*(VLOOKUP($AP37,$A$35:$H$42,7,FALSE)*(VLOOKUP($AP37,$A$35:$H$42,3,FALSE))^2*VLOOKUP($AP37,$A$35:$H$42,2,FALSE))^0.976*'Calculator Interface'!$W$14*AL48</f>
        <v>1681.7433748138924</v>
      </c>
      <c r="AY37" s="16">
        <f>0.0673*(VLOOKUP($AP37,$A$35:$H$42,7,FALSE)*(VLOOKUP($AP37,$A$35:$H$42,3,FALSE))^2*VLOOKUP($AP37,$A$35:$H$42,2,FALSE))^0.976*'Calculator Interface'!$W$14*AM48</f>
        <v>1484.133319215425</v>
      </c>
      <c r="AZ37" s="16">
        <f>0.0673*(VLOOKUP($AP37,$A$35:$H$42,7,FALSE)*(VLOOKUP($AP37,$A$35:$H$42,3,FALSE))^2*VLOOKUP($AP37,$A$35:$H$42,2,FALSE))^0.976*'Calculator Interface'!$W$14*AN48</f>
        <v>1309.7430572302071</v>
      </c>
      <c r="BB37" s="16"/>
      <c r="BC37" s="16"/>
      <c r="BD37" s="16"/>
      <c r="BE37" s="16"/>
      <c r="BF37" s="16"/>
      <c r="BG37" s="16"/>
      <c r="BH37" s="16"/>
      <c r="BI37" s="16"/>
      <c r="BJ37" s="16"/>
      <c r="BK37" s="16"/>
      <c r="BL37" s="16"/>
      <c r="BM37" s="16"/>
      <c r="BN37" s="16"/>
      <c r="BO37" s="16"/>
      <c r="BP37" s="16"/>
      <c r="BQ37" s="16"/>
      <c r="BR37" s="16"/>
      <c r="BS37" s="16"/>
      <c r="BT37" s="16"/>
      <c r="BU37" s="16"/>
      <c r="BV37" s="16"/>
    </row>
    <row r="38" spans="1:74" x14ac:dyDescent="0.2">
      <c r="A38" t="s">
        <v>17</v>
      </c>
      <c r="B38">
        <v>55</v>
      </c>
      <c r="C38">
        <v>125</v>
      </c>
      <c r="D38" t="s">
        <v>199</v>
      </c>
      <c r="E38" t="s">
        <v>202</v>
      </c>
      <c r="F38" s="10">
        <v>0.22500000000000001</v>
      </c>
      <c r="G38">
        <v>0.46500000000000002</v>
      </c>
      <c r="H38">
        <v>0.15000000000000002</v>
      </c>
      <c r="M38" t="s">
        <v>17</v>
      </c>
      <c r="N38" s="16">
        <f>VLOOKUP(M38,$A$1:$H$8,6,FALSE)*'Calculator Interface'!$S$14</f>
        <v>66292.203054545447</v>
      </c>
      <c r="O38">
        <f t="shared" si="0"/>
        <v>0.15000000000000002</v>
      </c>
      <c r="P38" s="16">
        <f t="shared" si="4"/>
        <v>17185.607998650728</v>
      </c>
      <c r="Q38" s="16">
        <f t="shared" si="5"/>
        <v>57058.22794383685</v>
      </c>
      <c r="R38" s="16">
        <f t="shared" si="5"/>
        <v>49110.471911939501</v>
      </c>
      <c r="S38" s="16">
        <f t="shared" si="5"/>
        <v>42269.77490060508</v>
      </c>
      <c r="T38" s="16">
        <f t="shared" si="5"/>
        <v>36381.9324186425</v>
      </c>
      <c r="U38" s="16">
        <f t="shared" si="5"/>
        <v>31314.219430482994</v>
      </c>
      <c r="V38" s="16">
        <f t="shared" si="5"/>
        <v>26952.398439341243</v>
      </c>
      <c r="W38" s="16">
        <f t="shared" si="5"/>
        <v>23198.144320527284</v>
      </c>
      <c r="X38" s="16">
        <f t="shared" si="5"/>
        <v>19966.827854937488</v>
      </c>
      <c r="Y38" s="16">
        <f t="shared" si="5"/>
        <v>17185.607998650728</v>
      </c>
      <c r="Z38" s="16">
        <f t="shared" si="5"/>
        <v>14791.789884152951</v>
      </c>
      <c r="AB38" t="s">
        <v>17</v>
      </c>
      <c r="AC38" s="16">
        <f>VLOOKUP(AB38,$A$1:$H$8,6,FALSE)*'Calculator Interface'!$S$14</f>
        <v>66292.203054545447</v>
      </c>
      <c r="AD38">
        <f t="shared" si="2"/>
        <v>0.15000000000000002</v>
      </c>
      <c r="AE38" s="16">
        <f t="shared" si="6"/>
        <v>9233.9751107085976</v>
      </c>
      <c r="AF38" s="16">
        <f t="shared" si="7"/>
        <v>7947.7560318973483</v>
      </c>
      <c r="AG38" s="16">
        <f t="shared" si="7"/>
        <v>6840.6970113344214</v>
      </c>
      <c r="AH38" s="16">
        <f t="shared" si="3"/>
        <v>5887.8424819625798</v>
      </c>
      <c r="AI38" s="16">
        <f t="shared" si="3"/>
        <v>5067.7129881595065</v>
      </c>
      <c r="AJ38" s="16">
        <f t="shared" si="3"/>
        <v>4361.8209911417507</v>
      </c>
      <c r="AK38" s="16">
        <f t="shared" si="3"/>
        <v>3754.2541188139585</v>
      </c>
      <c r="AL38" s="16">
        <f t="shared" si="3"/>
        <v>3231.3164655897963</v>
      </c>
      <c r="AM38" s="16">
        <f t="shared" si="3"/>
        <v>2781.2198562867598</v>
      </c>
      <c r="AN38" s="16">
        <f t="shared" si="3"/>
        <v>2393.8181144977771</v>
      </c>
      <c r="AO38" s="16"/>
      <c r="AP38" t="s">
        <v>17</v>
      </c>
      <c r="AQ38" s="16">
        <f>0.0673*(VLOOKUP($AP38,$A$35:$H$42,7,FALSE)*(VLOOKUP($AP38,$A$35:$H$42,3,FALSE))^2*VLOOKUP($AP38,$A$35:$H$42,2,FALSE))^0.976*'Calculator Interface'!$W$14*AE49</f>
        <v>1855.4168532370486</v>
      </c>
      <c r="AR38" s="16">
        <f>0.0673*(VLOOKUP($AP38,$A$35:$H$42,7,FALSE)*(VLOOKUP($AP38,$A$35:$H$42,3,FALSE))^2*VLOOKUP($AP38,$A$35:$H$42,2,FALSE))^0.976*'Calculator Interface'!$W$14*AF49</f>
        <v>1596.9720851746092</v>
      </c>
      <c r="AS38" s="16">
        <f>0.0673*(VLOOKUP($AP38,$A$35:$H$42,7,FALSE)*(VLOOKUP($AP38,$A$35:$H$42,3,FALSE))^2*VLOOKUP($AP38,$A$35:$H$42,2,FALSE))^0.976*'Calculator Interface'!$W$14*AG49</f>
        <v>1374.5266118379443</v>
      </c>
      <c r="AT38" s="16">
        <f>0.0673*(VLOOKUP($AP38,$A$35:$H$42,7,FALSE)*(VLOOKUP($AP38,$A$35:$H$42,3,FALSE))^2*VLOOKUP($AP38,$A$35:$H$42,2,FALSE))^0.976*'Calculator Interface'!$W$14*AH49</f>
        <v>1183.0660186174257</v>
      </c>
      <c r="AU38" s="16">
        <f>0.0673*(VLOOKUP($AP38,$A$35:$H$42,7,FALSE)*(VLOOKUP($AP38,$A$35:$H$42,3,FALSE))^2*VLOOKUP($AP38,$A$35:$H$42,2,FALSE))^0.976*'Calculator Interface'!$W$14*AI49</f>
        <v>1018.2743588614554</v>
      </c>
      <c r="AV38" s="16">
        <f>0.0673*(VLOOKUP($AP38,$A$35:$H$42,7,FALSE)*(VLOOKUP($AP38,$A$35:$H$42,3,FALSE))^2*VLOOKUP($AP38,$A$35:$H$42,2,FALSE))^0.976*'Calculator Interface'!$W$14*AJ49</f>
        <v>876.43686286116611</v>
      </c>
      <c r="AW38" s="16">
        <f>0.0673*(VLOOKUP($AP38,$A$35:$H$42,7,FALSE)*(VLOOKUP($AP38,$A$35:$H$42,3,FALSE))^2*VLOOKUP($AP38,$A$35:$H$42,2,FALSE))^0.976*'Calculator Interface'!$W$14*AK49</f>
        <v>754.35619869756056</v>
      </c>
      <c r="AX38" s="16">
        <f>0.0673*(VLOOKUP($AP38,$A$35:$H$42,7,FALSE)*(VLOOKUP($AP38,$A$35:$H$42,3,FALSE))^2*VLOOKUP($AP38,$A$35:$H$42,2,FALSE))^0.976*'Calculator Interface'!$W$14*AL49</f>
        <v>649.28039728467536</v>
      </c>
      <c r="AY38" s="16">
        <f>0.0673*(VLOOKUP($AP38,$A$35:$H$42,7,FALSE)*(VLOOKUP($AP38,$A$35:$H$42,3,FALSE))^2*VLOOKUP($AP38,$A$35:$H$42,2,FALSE))^0.976*'Calculator Interface'!$W$14*AM49</f>
        <v>558.84081687934975</v>
      </c>
      <c r="AZ38" s="16">
        <f>0.0673*(VLOOKUP($AP38,$A$35:$H$42,7,FALSE)*(VLOOKUP($AP38,$A$35:$H$42,3,FALSE))^2*VLOOKUP($AP38,$A$35:$H$42,2,FALSE))^0.976*'Calculator Interface'!$W$14*AN49</f>
        <v>480.99874863995342</v>
      </c>
    </row>
    <row r="39" spans="1:74" x14ac:dyDescent="0.2">
      <c r="A39" t="s">
        <v>18</v>
      </c>
      <c r="B39">
        <v>40</v>
      </c>
      <c r="C39">
        <v>90</v>
      </c>
      <c r="D39" t="s">
        <v>199</v>
      </c>
      <c r="E39" t="s">
        <v>203</v>
      </c>
      <c r="F39" s="10">
        <v>0.17499999999999999</v>
      </c>
      <c r="G39">
        <v>0.45</v>
      </c>
      <c r="H39">
        <v>0.15000000000000002</v>
      </c>
      <c r="M39" t="s">
        <v>18</v>
      </c>
      <c r="N39" s="16">
        <f>VLOOKUP(M39,$A$1:$H$8,6,FALSE)*'Calculator Interface'!$S$14</f>
        <v>51560.602375757568</v>
      </c>
      <c r="O39">
        <f t="shared" si="0"/>
        <v>0.15000000000000002</v>
      </c>
      <c r="P39" s="16">
        <f t="shared" si="4"/>
        <v>13366.583998950564</v>
      </c>
      <c r="Q39" s="16">
        <f t="shared" si="5"/>
        <v>44378.621734095323</v>
      </c>
      <c r="R39" s="16">
        <f t="shared" si="5"/>
        <v>38197.033709286276</v>
      </c>
      <c r="S39" s="16">
        <f t="shared" si="5"/>
        <v>32876.49158935951</v>
      </c>
      <c r="T39" s="16">
        <f t="shared" si="5"/>
        <v>28297.058547833054</v>
      </c>
      <c r="U39" s="16">
        <f t="shared" si="5"/>
        <v>24355.50400148677</v>
      </c>
      <c r="V39" s="16">
        <f t="shared" si="5"/>
        <v>20962.976563932076</v>
      </c>
      <c r="W39" s="16">
        <f t="shared" si="5"/>
        <v>18043.001138187887</v>
      </c>
      <c r="X39" s="16">
        <f t="shared" si="5"/>
        <v>15529.754998284712</v>
      </c>
      <c r="Y39" s="16">
        <f t="shared" si="5"/>
        <v>13366.583998950564</v>
      </c>
      <c r="Z39" s="16">
        <f t="shared" si="5"/>
        <v>11504.725465452295</v>
      </c>
      <c r="AB39" t="s">
        <v>18</v>
      </c>
      <c r="AC39" s="16">
        <f>VLOOKUP(AB39,$A$1:$H$8,6,FALSE)*'Calculator Interface'!$S$14</f>
        <v>51560.602375757568</v>
      </c>
      <c r="AD39">
        <f t="shared" si="2"/>
        <v>0.15000000000000002</v>
      </c>
      <c r="AE39" s="16">
        <f t="shared" si="6"/>
        <v>7181.980641662245</v>
      </c>
      <c r="AF39" s="16">
        <f t="shared" si="7"/>
        <v>6181.5880248090471</v>
      </c>
      <c r="AG39" s="16">
        <f t="shared" si="7"/>
        <v>5320.5421199267657</v>
      </c>
      <c r="AH39" s="16">
        <f t="shared" si="3"/>
        <v>4579.4330415264558</v>
      </c>
      <c r="AI39" s="16">
        <f t="shared" si="3"/>
        <v>3941.554546346284</v>
      </c>
      <c r="AJ39" s="16">
        <f t="shared" si="3"/>
        <v>3392.5274375546942</v>
      </c>
      <c r="AK39" s="16">
        <f t="shared" si="3"/>
        <v>2919.9754257441891</v>
      </c>
      <c r="AL39" s="16">
        <f t="shared" si="3"/>
        <v>2513.2461399031745</v>
      </c>
      <c r="AM39" s="16">
        <f t="shared" si="3"/>
        <v>2163.1709993341483</v>
      </c>
      <c r="AN39" s="16">
        <f t="shared" si="3"/>
        <v>1861.858533498269</v>
      </c>
      <c r="AO39" s="16"/>
      <c r="AP39" t="s">
        <v>18</v>
      </c>
      <c r="AQ39" s="16">
        <f>0.0673*(VLOOKUP($AP39,$A$35:$H$42,7,FALSE)*(VLOOKUP($AP39,$A$35:$H$42,3,FALSE))^2*VLOOKUP($AP39,$A$35:$H$42,2,FALSE))^0.976*'Calculator Interface'!$W$14*AE50</f>
        <v>539.42113527081824</v>
      </c>
      <c r="AR39" s="16">
        <f>0.0673*(VLOOKUP($AP39,$A$35:$H$42,7,FALSE)*(VLOOKUP($AP39,$A$35:$H$42,3,FALSE))^2*VLOOKUP($AP39,$A$35:$H$42,2,FALSE))^0.976*'Calculator Interface'!$W$14*AF50</f>
        <v>464.2840737798532</v>
      </c>
      <c r="AS39" s="16">
        <f>0.0673*(VLOOKUP($AP39,$A$35:$H$42,7,FALSE)*(VLOOKUP($AP39,$A$35:$H$42,3,FALSE))^2*VLOOKUP($AP39,$A$35:$H$42,2,FALSE))^0.976*'Calculator Interface'!$W$14*AG50</f>
        <v>399.61300562943973</v>
      </c>
      <c r="AT39" s="16">
        <f>0.0673*(VLOOKUP($AP39,$A$35:$H$42,7,FALSE)*(VLOOKUP($AP39,$A$35:$H$42,3,FALSE))^2*VLOOKUP($AP39,$A$35:$H$42,2,FALSE))^0.976*'Calculator Interface'!$W$14*AH50</f>
        <v>343.95010142845047</v>
      </c>
      <c r="AU39" s="16">
        <f>0.0673*(VLOOKUP($AP39,$A$35:$H$42,7,FALSE)*(VLOOKUP($AP39,$A$35:$H$42,3,FALSE))^2*VLOOKUP($AP39,$A$35:$H$42,2,FALSE))^0.976*'Calculator Interface'!$W$14*AI50</f>
        <v>296.040595791675</v>
      </c>
      <c r="AV39" s="16">
        <f>0.0673*(VLOOKUP($AP39,$A$35:$H$42,7,FALSE)*(VLOOKUP($AP39,$A$35:$H$42,3,FALSE))^2*VLOOKUP($AP39,$A$35:$H$42,2,FALSE))^0.976*'Calculator Interface'!$W$14*AJ50</f>
        <v>254.80450214352089</v>
      </c>
      <c r="AW39" s="16">
        <f>0.0673*(VLOOKUP($AP39,$A$35:$H$42,7,FALSE)*(VLOOKUP($AP39,$A$35:$H$42,3,FALSE))^2*VLOOKUP($AP39,$A$35:$H$42,2,FALSE))^0.976*'Calculator Interface'!$W$14*AK50</f>
        <v>219.31226742394426</v>
      </c>
      <c r="AX39" s="16">
        <f>0.0673*(VLOOKUP($AP39,$A$35:$H$42,7,FALSE)*(VLOOKUP($AP39,$A$35:$H$42,3,FALSE))^2*VLOOKUP($AP39,$A$35:$H$42,2,FALSE))^0.976*'Calculator Interface'!$W$14*AL50</f>
        <v>188.76381789965399</v>
      </c>
      <c r="AY39" s="16">
        <f>0.0673*(VLOOKUP($AP39,$A$35:$H$42,7,FALSE)*(VLOOKUP($AP39,$A$35:$H$42,3,FALSE))^2*VLOOKUP($AP39,$A$35:$H$42,2,FALSE))^0.976*'Calculator Interface'!$W$14*AM50</f>
        <v>162.47052372667923</v>
      </c>
      <c r="AZ39" s="16">
        <f>0.0673*(VLOOKUP($AP39,$A$35:$H$42,7,FALSE)*(VLOOKUP($AP39,$A$35:$H$42,3,FALSE))^2*VLOOKUP($AP39,$A$35:$H$42,2,FALSE))^0.976*'Calculator Interface'!$W$14*AN50</f>
        <v>139.83967570550973</v>
      </c>
      <c r="BB39" s="16"/>
      <c r="BC39" s="16"/>
      <c r="BD39" s="16"/>
      <c r="BE39" s="16"/>
      <c r="BF39" s="16"/>
      <c r="BG39" s="16"/>
      <c r="BH39" s="16"/>
      <c r="BI39" s="16"/>
      <c r="BJ39" s="16"/>
      <c r="BK39" s="16"/>
      <c r="BL39" s="16"/>
      <c r="BM39" s="16"/>
      <c r="BN39" s="16"/>
      <c r="BO39" s="16"/>
      <c r="BP39" s="16"/>
      <c r="BQ39" s="16"/>
      <c r="BR39" s="16"/>
      <c r="BS39" s="16"/>
      <c r="BT39" s="16"/>
      <c r="BU39" s="16"/>
      <c r="BV39" s="16"/>
    </row>
    <row r="40" spans="1:74" x14ac:dyDescent="0.2">
      <c r="A40" t="s">
        <v>20</v>
      </c>
      <c r="B40">
        <v>25</v>
      </c>
      <c r="C40">
        <v>80</v>
      </c>
      <c r="D40" t="s">
        <v>199</v>
      </c>
      <c r="E40" t="s">
        <v>204</v>
      </c>
      <c r="F40" s="8">
        <v>0.25</v>
      </c>
      <c r="G40">
        <v>0.56999999999999995</v>
      </c>
      <c r="H40">
        <v>0.2</v>
      </c>
      <c r="M40" t="s">
        <v>20</v>
      </c>
      <c r="N40" s="16">
        <f>VLOOKUP(M40,$A$1:$H$8,6,FALSE)*'Calculator Interface'!$S$14</f>
        <v>73658.003393939391</v>
      </c>
      <c r="O40">
        <f t="shared" si="0"/>
        <v>0.2</v>
      </c>
      <c r="P40" s="16">
        <f t="shared" si="4"/>
        <v>12175.586069640029</v>
      </c>
      <c r="Q40" s="16">
        <f t="shared" si="5"/>
        <v>60306.072588940537</v>
      </c>
      <c r="R40" s="16">
        <f t="shared" si="5"/>
        <v>49374.436225918733</v>
      </c>
      <c r="S40" s="16">
        <f t="shared" si="5"/>
        <v>40424.369354047223</v>
      </c>
      <c r="T40" s="16">
        <f t="shared" si="5"/>
        <v>33096.67436394158</v>
      </c>
      <c r="U40" s="16">
        <f t="shared" si="5"/>
        <v>27097.265126366627</v>
      </c>
      <c r="V40" s="16">
        <f t="shared" si="5"/>
        <v>22185.364283263876</v>
      </c>
      <c r="W40" s="16">
        <f t="shared" si="5"/>
        <v>18163.840006945997</v>
      </c>
      <c r="X40" s="16">
        <f t="shared" si="5"/>
        <v>14871.294407674872</v>
      </c>
      <c r="Y40" s="16">
        <f t="shared" si="5"/>
        <v>12175.586069640029</v>
      </c>
      <c r="Z40" s="16">
        <f t="shared" si="5"/>
        <v>9968.5267519621666</v>
      </c>
      <c r="AB40" t="s">
        <v>20</v>
      </c>
      <c r="AC40" s="16">
        <f>VLOOKUP(AB40,$A$1:$H$8,6,FALSE)*'Calculator Interface'!$S$14</f>
        <v>73658.003393939391</v>
      </c>
      <c r="AD40">
        <f t="shared" si="2"/>
        <v>0.2</v>
      </c>
      <c r="AE40" s="16">
        <f t="shared" si="6"/>
        <v>13351.930804998854</v>
      </c>
      <c r="AF40" s="16">
        <f t="shared" si="7"/>
        <v>10931.636363021804</v>
      </c>
      <c r="AG40" s="16">
        <f t="shared" si="7"/>
        <v>8950.0668718715096</v>
      </c>
      <c r="AH40" s="16">
        <f t="shared" si="3"/>
        <v>7327.6949901056432</v>
      </c>
      <c r="AI40" s="16">
        <f t="shared" si="3"/>
        <v>5999.4092375749533</v>
      </c>
      <c r="AJ40" s="16">
        <f t="shared" si="3"/>
        <v>4911.9008431027505</v>
      </c>
      <c r="AK40" s="16">
        <f t="shared" si="3"/>
        <v>4021.5242763178794</v>
      </c>
      <c r="AL40" s="16">
        <f t="shared" si="3"/>
        <v>3292.545599271125</v>
      </c>
      <c r="AM40" s="16">
        <f t="shared" si="3"/>
        <v>2695.7083380348431</v>
      </c>
      <c r="AN40" s="16">
        <f t="shared" si="3"/>
        <v>2207.0593176778621</v>
      </c>
      <c r="AO40" s="16"/>
      <c r="AP40" t="s">
        <v>20</v>
      </c>
      <c r="AQ40" s="16">
        <f>0.0673*(VLOOKUP($AP40,$A$35:$H$42,7,FALSE)*(VLOOKUP($AP40,$A$35:$H$42,3,FALSE))^2*VLOOKUP($AP40,$A$35:$H$42,2,FALSE))^0.976*'Calculator Interface'!$W$14*AE51</f>
        <v>634.38867337286365</v>
      </c>
      <c r="AR40" s="16">
        <f>0.0673*(VLOOKUP($AP40,$A$35:$H$42,7,FALSE)*(VLOOKUP($AP40,$A$35:$H$42,3,FALSE))^2*VLOOKUP($AP40,$A$35:$H$42,2,FALSE))^0.976*'Calculator Interface'!$W$14*AF51</f>
        <v>519.39351629470593</v>
      </c>
      <c r="AS40" s="16">
        <f>0.0673*(VLOOKUP($AP40,$A$35:$H$42,7,FALSE)*(VLOOKUP($AP40,$A$35:$H$42,3,FALSE))^2*VLOOKUP($AP40,$A$35:$H$42,2,FALSE))^0.976*'Calculator Interface'!$W$14*AG51</f>
        <v>425.24344473978647</v>
      </c>
      <c r="AT40" s="16">
        <f>0.0673*(VLOOKUP($AP40,$A$35:$H$42,7,FALSE)*(VLOOKUP($AP40,$A$35:$H$42,3,FALSE))^2*VLOOKUP($AP40,$A$35:$H$42,2,FALSE))^0.976*'Calculator Interface'!$W$14*AH51</f>
        <v>348.15988575327981</v>
      </c>
      <c r="AU40" s="16">
        <f>0.0673*(VLOOKUP($AP40,$A$35:$H$42,7,FALSE)*(VLOOKUP($AP40,$A$35:$H$42,3,FALSE))^2*VLOOKUP($AP40,$A$35:$H$42,2,FALSE))^0.976*'Calculator Interface'!$W$14*AI51</f>
        <v>285.04920545432719</v>
      </c>
      <c r="AV40" s="16">
        <f>0.0673*(VLOOKUP($AP40,$A$35:$H$42,7,FALSE)*(VLOOKUP($AP40,$A$35:$H$42,3,FALSE))^2*VLOOKUP($AP40,$A$35:$H$42,2,FALSE))^0.976*'Calculator Interface'!$W$14*AJ51</f>
        <v>233.37855064590201</v>
      </c>
      <c r="AW40" s="16">
        <f>0.0673*(VLOOKUP($AP40,$A$35:$H$42,7,FALSE)*(VLOOKUP($AP40,$A$35:$H$42,3,FALSE))^2*VLOOKUP($AP40,$A$35:$H$42,2,FALSE))^0.976*'Calculator Interface'!$W$14*AK51</f>
        <v>191.07419652256687</v>
      </c>
      <c r="AX40" s="16">
        <f>0.0673*(VLOOKUP($AP40,$A$35:$H$42,7,FALSE)*(VLOOKUP($AP40,$A$35:$H$42,3,FALSE))^2*VLOOKUP($AP40,$A$35:$H$42,2,FALSE))^0.976*'Calculator Interface'!$W$14*AL51</f>
        <v>156.43832081269153</v>
      </c>
      <c r="AY40" s="16">
        <f>0.0673*(VLOOKUP($AP40,$A$35:$H$42,7,FALSE)*(VLOOKUP($AP40,$A$35:$H$42,3,FALSE))^2*VLOOKUP($AP40,$A$35:$H$42,2,FALSE))^0.976*'Calculator Interface'!$W$14*AM51</f>
        <v>128.08086420922987</v>
      </c>
      <c r="AZ40" s="16">
        <f>0.0673*(VLOOKUP($AP40,$A$35:$H$42,7,FALSE)*(VLOOKUP($AP40,$A$35:$H$42,3,FALSE))^2*VLOOKUP($AP40,$A$35:$H$42,2,FALSE))^0.976*'Calculator Interface'!$W$14*AN51</f>
        <v>104.8637424089015</v>
      </c>
    </row>
    <row r="41" spans="1:74" x14ac:dyDescent="0.2">
      <c r="A41" t="s">
        <v>22</v>
      </c>
      <c r="B41">
        <v>25</v>
      </c>
      <c r="C41">
        <v>80</v>
      </c>
      <c r="D41" t="s">
        <v>199</v>
      </c>
      <c r="E41" t="s">
        <v>205</v>
      </c>
      <c r="F41" s="10">
        <v>0.22500000000000001</v>
      </c>
      <c r="G41">
        <v>0.52500000000000002</v>
      </c>
      <c r="H41">
        <v>0.15000000000000002</v>
      </c>
      <c r="M41" t="s">
        <v>22</v>
      </c>
      <c r="N41" s="16">
        <f>VLOOKUP(M41,$A$1:$H$8,6,FALSE)*'Calculator Interface'!$S$14</f>
        <v>66292.203054545447</v>
      </c>
      <c r="O41">
        <f t="shared" si="0"/>
        <v>0.15000000000000002</v>
      </c>
      <c r="P41" s="16">
        <f t="shared" si="4"/>
        <v>17185.607998650728</v>
      </c>
      <c r="Q41" s="16">
        <f t="shared" si="5"/>
        <v>57058.22794383685</v>
      </c>
      <c r="R41" s="16">
        <f t="shared" si="5"/>
        <v>49110.471911939501</v>
      </c>
      <c r="S41" s="16">
        <f t="shared" si="5"/>
        <v>42269.77490060508</v>
      </c>
      <c r="T41" s="16">
        <f t="shared" si="5"/>
        <v>36381.9324186425</v>
      </c>
      <c r="U41" s="16">
        <f t="shared" si="5"/>
        <v>31314.219430482994</v>
      </c>
      <c r="V41" s="16">
        <f t="shared" si="5"/>
        <v>26952.398439341243</v>
      </c>
      <c r="W41" s="16">
        <f t="shared" si="5"/>
        <v>23198.144320527284</v>
      </c>
      <c r="X41" s="16">
        <f t="shared" si="5"/>
        <v>19966.827854937488</v>
      </c>
      <c r="Y41" s="16">
        <f t="shared" si="5"/>
        <v>17185.607998650728</v>
      </c>
      <c r="Z41" s="16">
        <f t="shared" si="5"/>
        <v>14791.789884152951</v>
      </c>
      <c r="AB41" t="s">
        <v>22</v>
      </c>
      <c r="AC41" s="16">
        <f>VLOOKUP(AB41,$A$1:$H$8,6,FALSE)*'Calculator Interface'!$S$14</f>
        <v>66292.203054545447</v>
      </c>
      <c r="AD41">
        <f t="shared" si="2"/>
        <v>0.15000000000000002</v>
      </c>
      <c r="AE41" s="16">
        <f t="shared" si="6"/>
        <v>9233.9751107085976</v>
      </c>
      <c r="AF41" s="16">
        <f t="shared" si="7"/>
        <v>7947.7560318973483</v>
      </c>
      <c r="AG41" s="16">
        <f t="shared" si="7"/>
        <v>6840.6970113344214</v>
      </c>
      <c r="AH41" s="16">
        <f t="shared" si="3"/>
        <v>5887.8424819625798</v>
      </c>
      <c r="AI41" s="16">
        <f t="shared" si="3"/>
        <v>5067.7129881595065</v>
      </c>
      <c r="AJ41" s="16">
        <f t="shared" si="3"/>
        <v>4361.8209911417507</v>
      </c>
      <c r="AK41" s="16">
        <f t="shared" si="3"/>
        <v>3754.2541188139585</v>
      </c>
      <c r="AL41" s="16">
        <f t="shared" si="3"/>
        <v>3231.3164655897963</v>
      </c>
      <c r="AM41" s="16">
        <f t="shared" si="3"/>
        <v>2781.2198562867598</v>
      </c>
      <c r="AN41" s="16">
        <f t="shared" si="3"/>
        <v>2393.8181144977771</v>
      </c>
      <c r="AO41" s="16"/>
      <c r="AP41" t="s">
        <v>22</v>
      </c>
      <c r="AQ41" s="16">
        <f>0.0673*(VLOOKUP($AP41,$A$35:$H$42,7,FALSE)*(VLOOKUP($AP41,$A$35:$H$42,3,FALSE))^2*VLOOKUP($AP41,$A$35:$H$42,2,FALSE))^0.976*'Calculator Interface'!$W$14*AE52</f>
        <v>404.89430466567154</v>
      </c>
      <c r="AR41" s="16">
        <f>0.0673*(VLOOKUP($AP41,$A$35:$H$42,7,FALSE)*(VLOOKUP($AP41,$A$35:$H$42,3,FALSE))^2*VLOOKUP($AP41,$A$35:$H$42,2,FALSE))^0.976*'Calculator Interface'!$W$14*AF52</f>
        <v>348.49575763482113</v>
      </c>
      <c r="AS41" s="16">
        <f>0.0673*(VLOOKUP($AP41,$A$35:$H$42,7,FALSE)*(VLOOKUP($AP41,$A$35:$H$42,3,FALSE))^2*VLOOKUP($AP41,$A$35:$H$42,2,FALSE))^0.976*'Calculator Interface'!$W$14*AG52</f>
        <v>299.95307834658456</v>
      </c>
      <c r="AT41" s="16">
        <f>0.0673*(VLOOKUP($AP41,$A$35:$H$42,7,FALSE)*(VLOOKUP($AP41,$A$35:$H$42,3,FALSE))^2*VLOOKUP($AP41,$A$35:$H$42,2,FALSE))^0.976*'Calculator Interface'!$W$14*AH52</f>
        <v>258.17200708615513</v>
      </c>
      <c r="AU41" s="16">
        <f>0.0673*(VLOOKUP($AP41,$A$35:$H$42,7,FALSE)*(VLOOKUP($AP41,$A$35:$H$42,3,FALSE))^2*VLOOKUP($AP41,$A$35:$H$42,2,FALSE))^0.976*'Calculator Interface'!$W$14*AI52</f>
        <v>222.21070578872053</v>
      </c>
      <c r="AV41" s="16">
        <f>0.0673*(VLOOKUP($AP41,$A$35:$H$42,7,FALSE)*(VLOOKUP($AP41,$A$35:$H$42,3,FALSE))^2*VLOOKUP($AP41,$A$35:$H$42,2,FALSE))^0.976*'Calculator Interface'!$W$14*AJ52</f>
        <v>191.25852691939346</v>
      </c>
      <c r="AW41" s="16">
        <f>0.0673*(VLOOKUP($AP41,$A$35:$H$42,7,FALSE)*(VLOOKUP($AP41,$A$35:$H$42,3,FALSE))^2*VLOOKUP($AP41,$A$35:$H$42,2,FALSE))^0.976*'Calculator Interface'!$W$14*AK52</f>
        <v>164.61773967882868</v>
      </c>
      <c r="AX41" s="16">
        <f>0.0673*(VLOOKUP($AP41,$A$35:$H$42,7,FALSE)*(VLOOKUP($AP41,$A$35:$H$42,3,FALSE))^2*VLOOKUP($AP41,$A$35:$H$42,2,FALSE))^0.976*'Calculator Interface'!$W$14*AL52</f>
        <v>141.6878016026314</v>
      </c>
      <c r="AY41" s="16">
        <f>0.0673*(VLOOKUP($AP41,$A$35:$H$42,7,FALSE)*(VLOOKUP($AP41,$A$35:$H$42,3,FALSE))^2*VLOOKUP($AP41,$A$35:$H$42,2,FALSE))^0.976*'Calculator Interface'!$W$14*AM52</f>
        <v>121.95182100151575</v>
      </c>
      <c r="AZ41" s="16">
        <f>0.0673*(VLOOKUP($AP41,$A$35:$H$42,7,FALSE)*(VLOOKUP($AP41,$A$35:$H$42,3,FALSE))^2*VLOOKUP($AP41,$A$35:$H$42,2,FALSE))^0.976*'Calculator Interface'!$W$14*AN52</f>
        <v>104.96490507556594</v>
      </c>
      <c r="BB41" s="16"/>
      <c r="BC41" s="16"/>
      <c r="BD41" s="16"/>
      <c r="BE41" s="16"/>
      <c r="BF41" s="16"/>
      <c r="BG41" s="16"/>
      <c r="BH41" s="16"/>
      <c r="BI41" s="16"/>
      <c r="BJ41" s="16"/>
      <c r="BK41" s="16"/>
      <c r="BL41" s="16"/>
      <c r="BM41" s="16"/>
      <c r="BN41" s="16"/>
      <c r="BO41" s="16"/>
      <c r="BP41" s="16"/>
      <c r="BQ41" s="16"/>
      <c r="BR41" s="16"/>
      <c r="BS41" s="16"/>
      <c r="BT41" s="16"/>
      <c r="BU41" s="16"/>
      <c r="BV41" s="16"/>
    </row>
    <row r="42" spans="1:74" x14ac:dyDescent="0.2">
      <c r="A42" t="s">
        <v>24</v>
      </c>
      <c r="B42">
        <v>55</v>
      </c>
      <c r="C42">
        <v>30</v>
      </c>
      <c r="D42" t="s">
        <v>206</v>
      </c>
      <c r="E42" t="s">
        <v>207</v>
      </c>
      <c r="F42" s="10">
        <v>0.27500000000000002</v>
      </c>
      <c r="G42">
        <v>0.37</v>
      </c>
      <c r="H42">
        <v>7.5000000000000011E-2</v>
      </c>
      <c r="J42" t="s">
        <v>226</v>
      </c>
      <c r="M42" t="s">
        <v>24</v>
      </c>
      <c r="N42" s="16">
        <f>VLOOKUP(M42,$A$1:$H$8,6,FALSE)*'Calculator Interface'!$S$14</f>
        <v>81023.803733333334</v>
      </c>
      <c r="O42">
        <f t="shared" si="0"/>
        <v>7.5000000000000011E-2</v>
      </c>
      <c r="P42" s="16">
        <f t="shared" si="4"/>
        <v>41253.789892872577</v>
      </c>
      <c r="Q42" s="16">
        <f t="shared" si="5"/>
        <v>75169.30615116308</v>
      </c>
      <c r="R42" s="16">
        <f t="shared" si="5"/>
        <v>69737.834153578384</v>
      </c>
      <c r="S42" s="16">
        <f t="shared" si="5"/>
        <v>64698.821386643234</v>
      </c>
      <c r="T42" s="16">
        <f t="shared" si="5"/>
        <v>60023.910114592727</v>
      </c>
      <c r="U42" s="16">
        <f t="shared" si="5"/>
        <v>55686.791632783941</v>
      </c>
      <c r="V42" s="16">
        <f t="shared" si="5"/>
        <v>51663.058211850665</v>
      </c>
      <c r="W42" s="16">
        <f t="shared" si="5"/>
        <v>47930.065739857302</v>
      </c>
      <c r="X42" s="16">
        <f t="shared" si="5"/>
        <v>44466.806289451953</v>
      </c>
      <c r="Y42" s="16">
        <f t="shared" si="5"/>
        <v>41253.789892872577</v>
      </c>
      <c r="Z42" s="16">
        <f t="shared" si="5"/>
        <v>38272.934859479217</v>
      </c>
      <c r="AB42" t="s">
        <v>24</v>
      </c>
      <c r="AC42" s="16">
        <f>VLOOKUP(AB42,$A$1:$H$8,6,FALSE)*'Calculator Interface'!$S$14</f>
        <v>81023.803733333334</v>
      </c>
      <c r="AD42">
        <f t="shared" si="2"/>
        <v>7.5000000000000011E-2</v>
      </c>
      <c r="AE42" s="16">
        <f t="shared" si="6"/>
        <v>5854.4975821702537</v>
      </c>
      <c r="AF42" s="16">
        <f t="shared" si="7"/>
        <v>5431.4719975846965</v>
      </c>
      <c r="AG42" s="16">
        <f t="shared" si="7"/>
        <v>5039.0127669351496</v>
      </c>
      <c r="AH42" s="16">
        <f t="shared" si="3"/>
        <v>4674.9112720505073</v>
      </c>
      <c r="AI42" s="16">
        <f t="shared" si="3"/>
        <v>4337.1184818087859</v>
      </c>
      <c r="AJ42" s="16">
        <f t="shared" si="3"/>
        <v>4023.7334209332766</v>
      </c>
      <c r="AK42" s="16">
        <f t="shared" si="3"/>
        <v>3732.9924719933624</v>
      </c>
      <c r="AL42" s="16">
        <f t="shared" si="3"/>
        <v>3463.2594504053486</v>
      </c>
      <c r="AM42" s="16">
        <f t="shared" si="3"/>
        <v>3213.0163965793763</v>
      </c>
      <c r="AN42" s="16">
        <f t="shared" si="3"/>
        <v>2980.8550333933599</v>
      </c>
      <c r="AO42" s="16"/>
      <c r="AP42" t="s">
        <v>24</v>
      </c>
      <c r="AQ42" s="16">
        <f>0.0673*(VLOOKUP($AP42,$A$35:$H$42,7,FALSE)*(VLOOKUP($AP42,$A$35:$H$42,3,FALSE))^2*VLOOKUP($AP42,$A$35:$H$42,2,FALSE))^0.976*'Calculator Interface'!$W$14*AE53</f>
        <v>58.055794518227792</v>
      </c>
      <c r="AR42" s="16">
        <f>0.0673*(VLOOKUP($AP42,$A$35:$H$42,7,FALSE)*(VLOOKUP($AP42,$A$35:$H$42,3,FALSE))^2*VLOOKUP($AP42,$A$35:$H$42,2,FALSE))^0.976*'Calculator Interface'!$W$14*AF53</f>
        <v>53.860885207914563</v>
      </c>
      <c r="AS42" s="16">
        <f>0.0673*(VLOOKUP($AP42,$A$35:$H$42,7,FALSE)*(VLOOKUP($AP42,$A$35:$H$42,3,FALSE))^2*VLOOKUP($AP42,$A$35:$H$42,2,FALSE))^0.976*'Calculator Interface'!$W$14*AG53</f>
        <v>49.969085419532782</v>
      </c>
      <c r="AT42" s="16">
        <f>0.0673*(VLOOKUP($AP42,$A$35:$H$42,7,FALSE)*(VLOOKUP($AP42,$A$35:$H$42,3,FALSE))^2*VLOOKUP($AP42,$A$35:$H$42,2,FALSE))^0.976*'Calculator Interface'!$W$14*AH53</f>
        <v>46.358493515766639</v>
      </c>
      <c r="AU42" s="16">
        <f>0.0673*(VLOOKUP($AP42,$A$35:$H$42,7,FALSE)*(VLOOKUP($AP42,$A$35:$H$42,3,FALSE))^2*VLOOKUP($AP42,$A$35:$H$42,2,FALSE))^0.976*'Calculator Interface'!$W$14*AI53</f>
        <v>43.008790395256931</v>
      </c>
      <c r="AV42" s="16">
        <f>0.0673*(VLOOKUP($AP42,$A$35:$H$42,7,FALSE)*(VLOOKUP($AP42,$A$35:$H$42,3,FALSE))^2*VLOOKUP($AP42,$A$35:$H$42,2,FALSE))^0.976*'Calculator Interface'!$W$14*AJ53</f>
        <v>39.901125144069582</v>
      </c>
      <c r="AW42" s="16">
        <f>0.0673*(VLOOKUP($AP42,$A$35:$H$42,7,FALSE)*(VLOOKUP($AP42,$A$35:$H$42,3,FALSE))^2*VLOOKUP($AP42,$A$35:$H$42,2,FALSE))^0.976*'Calculator Interface'!$W$14*AK53</f>
        <v>37.018008949591092</v>
      </c>
      <c r="AX42" s="16">
        <f>0.0673*(VLOOKUP($AP42,$A$35:$H$42,7,FALSE)*(VLOOKUP($AP42,$A$35:$H$42,3,FALSE))^2*VLOOKUP($AP42,$A$35:$H$42,2,FALSE))^0.976*'Calculator Interface'!$W$14*AL53</f>
        <v>34.343216679835052</v>
      </c>
      <c r="AY42" s="16">
        <f>0.0673*(VLOOKUP($AP42,$A$35:$H$42,7,FALSE)*(VLOOKUP($AP42,$A$35:$H$42,3,FALSE))^2*VLOOKUP($AP42,$A$35:$H$42,2,FALSE))^0.976*'Calculator Interface'!$W$14*AM53</f>
        <v>31.861695574287179</v>
      </c>
      <c r="AZ42" s="16">
        <f>0.0673*(VLOOKUP($AP42,$A$35:$H$42,7,FALSE)*(VLOOKUP($AP42,$A$35:$H$42,3,FALSE))^2*VLOOKUP($AP42,$A$35:$H$42,2,FALSE))^0.976*'Calculator Interface'!$W$14*AN53</f>
        <v>29.55948053242826</v>
      </c>
    </row>
    <row r="44" spans="1:74" x14ac:dyDescent="0.2">
      <c r="AE44" t="s">
        <v>228</v>
      </c>
      <c r="BC44" t="s">
        <v>229</v>
      </c>
    </row>
    <row r="45" spans="1:74" x14ac:dyDescent="0.2">
      <c r="AQ45" t="s">
        <v>230</v>
      </c>
    </row>
    <row r="46" spans="1:74" x14ac:dyDescent="0.2">
      <c r="N46" t="s">
        <v>222</v>
      </c>
      <c r="O46" t="s">
        <v>223</v>
      </c>
      <c r="P46">
        <v>1</v>
      </c>
      <c r="Q46">
        <v>2</v>
      </c>
      <c r="R46">
        <v>3</v>
      </c>
      <c r="S46">
        <v>4</v>
      </c>
      <c r="T46">
        <v>5</v>
      </c>
      <c r="U46">
        <v>6</v>
      </c>
      <c r="V46">
        <v>7</v>
      </c>
      <c r="W46">
        <v>8</v>
      </c>
      <c r="X46">
        <v>9</v>
      </c>
      <c r="Y46">
        <v>10</v>
      </c>
      <c r="AE46">
        <v>1</v>
      </c>
      <c r="AF46">
        <v>2</v>
      </c>
      <c r="AG46">
        <v>3</v>
      </c>
      <c r="AH46">
        <v>4</v>
      </c>
      <c r="AI46">
        <v>5</v>
      </c>
      <c r="AJ46">
        <v>6</v>
      </c>
      <c r="AK46">
        <v>7</v>
      </c>
      <c r="AL46">
        <v>8</v>
      </c>
      <c r="AM46">
        <v>9</v>
      </c>
      <c r="AN46">
        <v>10</v>
      </c>
      <c r="AQ46">
        <v>1</v>
      </c>
      <c r="AR46">
        <v>2</v>
      </c>
      <c r="AS46">
        <v>3</v>
      </c>
      <c r="AT46">
        <v>4</v>
      </c>
      <c r="AU46">
        <v>5</v>
      </c>
      <c r="AV46">
        <v>6</v>
      </c>
      <c r="AW46">
        <v>7</v>
      </c>
      <c r="AX46">
        <v>8</v>
      </c>
      <c r="AY46">
        <v>9</v>
      </c>
      <c r="AZ46">
        <v>10</v>
      </c>
      <c r="BB46" s="22">
        <v>1</v>
      </c>
      <c r="BC46" s="22">
        <v>2</v>
      </c>
      <c r="BD46" s="22">
        <v>3</v>
      </c>
      <c r="BE46" s="22">
        <v>4</v>
      </c>
      <c r="BF46" s="22">
        <v>5</v>
      </c>
      <c r="BG46" s="22">
        <v>6</v>
      </c>
      <c r="BH46" s="22">
        <v>7</v>
      </c>
      <c r="BI46" s="22">
        <v>8</v>
      </c>
      <c r="BJ46" s="22">
        <v>9</v>
      </c>
      <c r="BK46" s="22">
        <v>10</v>
      </c>
      <c r="BM46" s="23">
        <v>1</v>
      </c>
      <c r="BN46" s="23">
        <v>2</v>
      </c>
      <c r="BO46" s="23">
        <v>3</v>
      </c>
      <c r="BP46" s="23">
        <v>4</v>
      </c>
      <c r="BQ46" s="23">
        <v>5</v>
      </c>
      <c r="BR46" s="23">
        <v>6</v>
      </c>
      <c r="BS46" s="23">
        <v>7</v>
      </c>
      <c r="BT46" s="23">
        <v>8</v>
      </c>
      <c r="BU46" s="23">
        <v>9</v>
      </c>
      <c r="BV46" s="23">
        <v>10</v>
      </c>
    </row>
    <row r="47" spans="1:74" x14ac:dyDescent="0.2">
      <c r="M47" t="s">
        <v>14</v>
      </c>
      <c r="N47" s="16">
        <f>VLOOKUP(M47,$A$1:$H$8,6,FALSE)*'Calculator Interface'!$S$14</f>
        <v>81023.803733333334</v>
      </c>
      <c r="O47">
        <f t="shared" ref="O47:O53" si="8">VLOOKUP(M47,$A$1:$H$8,8,FALSE)</f>
        <v>7.5000000000000011E-2</v>
      </c>
      <c r="P47" s="16">
        <f>$N47*EXP(-$O47*Q$35)</f>
        <v>75169.30615116308</v>
      </c>
      <c r="Q47" s="16">
        <f>P47+$N47*EXP(-$O47*R$35)</f>
        <v>144907.14030474145</v>
      </c>
      <c r="R47" s="16">
        <f>Q47+$N47*EXP(-$O47*S$35)</f>
        <v>209605.96169138467</v>
      </c>
      <c r="S47" s="16">
        <f t="shared" ref="S47:Y53" si="9">R47+$N47*EXP(-$O47*T$35)</f>
        <v>269629.87180597743</v>
      </c>
      <c r="T47" s="16">
        <f t="shared" si="9"/>
        <v>325316.66343876137</v>
      </c>
      <c r="U47" s="16">
        <f t="shared" si="9"/>
        <v>376979.72165061202</v>
      </c>
      <c r="V47" s="16">
        <f t="shared" si="9"/>
        <v>424909.78739046934</v>
      </c>
      <c r="W47" s="16">
        <f t="shared" si="9"/>
        <v>469376.59367992129</v>
      </c>
      <c r="X47" s="16">
        <f t="shared" si="9"/>
        <v>510630.38357279386</v>
      </c>
      <c r="Y47" s="16">
        <f t="shared" si="9"/>
        <v>548903.31843227311</v>
      </c>
      <c r="AD47" t="s">
        <v>14</v>
      </c>
      <c r="AE47" s="25">
        <f>AE36/'Calculator Interface'!$S$14</f>
        <v>1.9870541259647979E-2</v>
      </c>
      <c r="AF47" s="25">
        <f>AF36/'Calculator Interface'!$S$14</f>
        <v>1.843476522346111E-2</v>
      </c>
      <c r="AG47" s="25">
        <f>AG36/'Calculator Interface'!$S$14</f>
        <v>1.7102733358062221E-2</v>
      </c>
      <c r="AH47" s="25">
        <f>AH36/'Calculator Interface'!$S$14</f>
        <v>1.5866949471356296E-2</v>
      </c>
      <c r="AI47" s="25">
        <f>AI36/'Calculator Interface'!$S$14</f>
        <v>1.4720459019955072E-2</v>
      </c>
      <c r="AJ47" s="25">
        <f>AJ36/'Calculator Interface'!$S$14</f>
        <v>1.3656809971529689E-2</v>
      </c>
      <c r="AK47" s="25">
        <f>AK36/'Calculator Interface'!$S$14</f>
        <v>1.2670016495113533E-2</v>
      </c>
      <c r="AL47" s="25">
        <f>AL36/'Calculator Interface'!$S$14</f>
        <v>1.1754525275016846E-2</v>
      </c>
      <c r="AM47" s="25">
        <f>AM36/'Calculator Interface'!$S$14</f>
        <v>1.0905184258781255E-2</v>
      </c>
      <c r="AN47" s="25">
        <f>AN36/'Calculator Interface'!$S$14</f>
        <v>1.0117213663296994E-2</v>
      </c>
      <c r="AP47" t="s">
        <v>14</v>
      </c>
      <c r="AQ47">
        <f>AQ36</f>
        <v>1100.1567294392346</v>
      </c>
      <c r="AR47">
        <f>AQ47+AR36</f>
        <v>2120.8199691170053</v>
      </c>
      <c r="AS47">
        <f>AR47+AS36</f>
        <v>3067.7336414630581</v>
      </c>
      <c r="AT47">
        <f t="shared" ref="AT47:AZ53" si="10">AS47+AT36</f>
        <v>3946.226633097559</v>
      </c>
      <c r="AU47">
        <f t="shared" si="10"/>
        <v>4761.2427838717504</v>
      </c>
      <c r="AV47">
        <f t="shared" si="10"/>
        <v>5517.3687090050753</v>
      </c>
      <c r="AW47">
        <f t="shared" si="10"/>
        <v>6218.8596108916699</v>
      </c>
      <c r="AX47">
        <f t="shared" si="10"/>
        <v>6869.6632258356976</v>
      </c>
      <c r="AY47">
        <f t="shared" si="10"/>
        <v>7473.4420404790962</v>
      </c>
      <c r="AZ47">
        <f t="shared" si="10"/>
        <v>8033.5939029476849</v>
      </c>
      <c r="BB47" s="13">
        <f>(AQ36+AE70)*0.725*0.5*3.67</f>
        <v>1464.9513839277215</v>
      </c>
      <c r="BC47" s="13">
        <f t="shared" ref="BC47:BK47" si="11">(AR36+AF70)*0.725*0.5*3.67</f>
        <v>1360.5256074863139</v>
      </c>
      <c r="BD47" s="13">
        <f t="shared" si="11"/>
        <v>1263.7414018473798</v>
      </c>
      <c r="BE47" s="13">
        <f t="shared" si="11"/>
        <v>1174.046613745749</v>
      </c>
      <c r="BF47" s="13">
        <f t="shared" si="11"/>
        <v>1090.9289865862152</v>
      </c>
      <c r="BG47" s="13">
        <f t="shared" si="11"/>
        <v>1013.9132776492468</v>
      </c>
      <c r="BH47" s="13">
        <f t="shared" si="11"/>
        <v>942.55858359737886</v>
      </c>
      <c r="BI47" s="13">
        <f t="shared" si="11"/>
        <v>876.45585923116039</v>
      </c>
      <c r="BJ47" s="13">
        <f t="shared" si="11"/>
        <v>815.22561553121193</v>
      </c>
      <c r="BK47" s="13">
        <f t="shared" si="11"/>
        <v>758.5157840316491</v>
      </c>
      <c r="BL47" t="s">
        <v>14</v>
      </c>
      <c r="BM47" s="24">
        <f>BB47</f>
        <v>1464.9513839277215</v>
      </c>
      <c r="BN47" s="24">
        <f>BM47+BC47</f>
        <v>2825.4769914140352</v>
      </c>
      <c r="BO47" s="24">
        <f t="shared" ref="BO47:BV53" si="12">BN47+BD47</f>
        <v>4089.2183932614153</v>
      </c>
      <c r="BP47" s="24">
        <f t="shared" si="12"/>
        <v>5263.2650070071641</v>
      </c>
      <c r="BQ47" s="24">
        <f t="shared" si="12"/>
        <v>6354.1939935933788</v>
      </c>
      <c r="BR47" s="24">
        <f t="shared" si="12"/>
        <v>7368.1072712426258</v>
      </c>
      <c r="BS47" s="24">
        <f t="shared" si="12"/>
        <v>8310.6658548400046</v>
      </c>
      <c r="BT47" s="24">
        <f t="shared" si="12"/>
        <v>9187.1217140711651</v>
      </c>
      <c r="BU47" s="24">
        <f t="shared" si="12"/>
        <v>10002.347329602377</v>
      </c>
      <c r="BV47" s="24">
        <f t="shared" si="12"/>
        <v>10760.863113634026</v>
      </c>
    </row>
    <row r="48" spans="1:74" x14ac:dyDescent="0.2">
      <c r="M48" t="s">
        <v>16</v>
      </c>
      <c r="N48" s="16">
        <f>VLOOKUP(M48,$A$1:$H$8,6,FALSE)*'Calculator Interface'!$S$14</f>
        <v>66292.203054545447</v>
      </c>
      <c r="O48">
        <f t="shared" si="8"/>
        <v>0.125</v>
      </c>
      <c r="P48" s="16">
        <f t="shared" ref="P48:P53" si="13">$N48*EXP(-$O48*Q$35)</f>
        <v>58502.663861145418</v>
      </c>
      <c r="Q48" s="16">
        <f t="shared" ref="Q48:R52" si="14">P48+$N48*EXP(-$O48*R$35)</f>
        <v>110131.083511554</v>
      </c>
      <c r="R48" s="16">
        <f t="shared" si="14"/>
        <v>155693.00393837722</v>
      </c>
      <c r="S48" s="16">
        <f t="shared" si="9"/>
        <v>195901.25759085454</v>
      </c>
      <c r="T48" s="16">
        <f t="shared" si="9"/>
        <v>231384.91689750151</v>
      </c>
      <c r="U48" s="16">
        <f t="shared" si="9"/>
        <v>262699.13632798451</v>
      </c>
      <c r="V48" s="16">
        <f t="shared" si="9"/>
        <v>290333.83798224013</v>
      </c>
      <c r="W48" s="16">
        <f t="shared" si="9"/>
        <v>314721.37659597007</v>
      </c>
      <c r="X48" s="16">
        <f t="shared" si="9"/>
        <v>336243.30388424895</v>
      </c>
      <c r="Y48" s="16">
        <f t="shared" si="9"/>
        <v>355236.33805380599</v>
      </c>
      <c r="AD48" t="s">
        <v>16</v>
      </c>
      <c r="AE48" s="25">
        <f>AE37/'Calculator Interface'!$S$14</f>
        <v>2.6438196918466009E-2</v>
      </c>
      <c r="AF48" s="25">
        <f>AF37/'Calculator Interface'!$S$14</f>
        <v>2.3331626890467898E-2</v>
      </c>
      <c r="AG48" s="25">
        <f>AG37/'Calculator Interface'!$S$14</f>
        <v>2.0590088463097331E-2</v>
      </c>
      <c r="AH48" s="25">
        <f>AH37/'Calculator Interface'!$S$14</f>
        <v>1.8170689292626236E-2</v>
      </c>
      <c r="AI48" s="25">
        <f>AI37/'Calculator Interface'!$S$14</f>
        <v>1.6035577018569711E-2</v>
      </c>
      <c r="AJ48" s="25">
        <f>AJ37/'Calculator Interface'!$S$14</f>
        <v>1.41513470500445E-2</v>
      </c>
      <c r="AK48" s="25">
        <f>AK37/'Calculator Interface'!$S$14</f>
        <v>1.2488519939063919E-2</v>
      </c>
      <c r="AL48" s="25">
        <f>AL37/'Calculator Interface'!$S$14</f>
        <v>1.1021080164089862E-2</v>
      </c>
      <c r="AM48" s="25">
        <f>AM37/'Calculator Interface'!$S$14</f>
        <v>9.7260691079458332E-3</v>
      </c>
      <c r="AN48" s="25">
        <f>AN37/'Calculator Interface'!$S$14</f>
        <v>8.5832258620859164E-3</v>
      </c>
      <c r="AP48" t="s">
        <v>16</v>
      </c>
      <c r="AQ48">
        <f t="shared" ref="AQ48:AQ53" si="15">AQ37</f>
        <v>4034.2926326338934</v>
      </c>
      <c r="AR48">
        <f t="shared" ref="AR48:AS53" si="16">AQ48+AR37</f>
        <v>7594.5433850531654</v>
      </c>
      <c r="AS48">
        <f t="shared" si="16"/>
        <v>10736.45364648764</v>
      </c>
      <c r="AT48">
        <f t="shared" si="10"/>
        <v>13509.179720402326</v>
      </c>
      <c r="AU48">
        <f t="shared" si="10"/>
        <v>15956.101892347579</v>
      </c>
      <c r="AV48">
        <f t="shared" si="10"/>
        <v>18115.503129954835</v>
      </c>
      <c r="AW48">
        <f t="shared" si="10"/>
        <v>20021.168033580583</v>
      </c>
      <c r="AX48">
        <f t="shared" si="10"/>
        <v>21702.911408394477</v>
      </c>
      <c r="AY48">
        <f t="shared" si="10"/>
        <v>23187.0447276099</v>
      </c>
      <c r="AZ48">
        <f t="shared" si="10"/>
        <v>24496.787784840108</v>
      </c>
      <c r="BB48" s="13">
        <f t="shared" ref="BB48:BB53" si="17">(AQ37+AE71)*0.725*0.5*3.67</f>
        <v>5747.6635234615223</v>
      </c>
      <c r="BC48" s="13">
        <f t="shared" ref="BC48:BC53" si="18">(AR37+AF71)*0.725*0.5*3.67</f>
        <v>5089.51345769623</v>
      </c>
      <c r="BD48" s="13">
        <f t="shared" ref="BD48:BD53" si="19">(AS37+AG71)*0.725*0.5*3.67</f>
        <v>4507.4539360362087</v>
      </c>
      <c r="BE48" s="13">
        <f t="shared" ref="BE48:BE53" si="20">(AT37+AH71)*0.725*0.5*3.67</f>
        <v>3992.6339801581453</v>
      </c>
      <c r="BF48" s="13">
        <f t="shared" ref="BF48:BF53" si="21">(AU37+AI71)*0.725*0.5*3.67</f>
        <v>3537.2361335140827</v>
      </c>
      <c r="BG48" s="13">
        <f t="shared" ref="BG48:BG53" si="22">(AV37+AJ71)*0.725*0.5*3.67</f>
        <v>3134.3554886705606</v>
      </c>
      <c r="BH48" s="13">
        <f t="shared" ref="BH48:BH53" si="23">(AW37+AK71)*0.725*0.5*3.67</f>
        <v>2777.8928953964214</v>
      </c>
      <c r="BI48" s="13">
        <f t="shared" ref="BI48:BI53" si="24">(AX37+AL71)*0.725*0.5*3.67</f>
        <v>2462.4606856681335</v>
      </c>
      <c r="BJ48" s="13">
        <f t="shared" ref="BJ48:BJ53" si="25">(AY37+AM71)*0.725*0.5*3.67</f>
        <v>2183.2994470893364</v>
      </c>
      <c r="BK48" s="13">
        <f t="shared" ref="BK48:BK53" si="26">(AZ37+AN71)*0.725*0.5*3.67</f>
        <v>1936.2045486108655</v>
      </c>
      <c r="BL48" t="s">
        <v>16</v>
      </c>
      <c r="BM48" s="24">
        <f t="shared" ref="BM48:BM53" si="27">BB48</f>
        <v>5747.6635234615223</v>
      </c>
      <c r="BN48" s="24">
        <f t="shared" ref="BN48:BN53" si="28">BM48+BC48</f>
        <v>10837.176981157752</v>
      </c>
      <c r="BO48" s="24">
        <f t="shared" si="12"/>
        <v>15344.630917193961</v>
      </c>
      <c r="BP48" s="24">
        <f t="shared" si="12"/>
        <v>19337.264897352106</v>
      </c>
      <c r="BQ48" s="24">
        <f t="shared" si="12"/>
        <v>22874.501030866188</v>
      </c>
      <c r="BR48" s="24">
        <f t="shared" si="12"/>
        <v>26008.856519536748</v>
      </c>
      <c r="BS48" s="24">
        <f t="shared" si="12"/>
        <v>28786.749414933169</v>
      </c>
      <c r="BT48" s="24">
        <f t="shared" si="12"/>
        <v>31249.210100601304</v>
      </c>
      <c r="BU48" s="24">
        <f t="shared" si="12"/>
        <v>33432.509547690643</v>
      </c>
      <c r="BV48" s="24">
        <f t="shared" si="12"/>
        <v>35368.714096301512</v>
      </c>
    </row>
    <row r="49" spans="13:74" x14ac:dyDescent="0.2">
      <c r="M49" t="s">
        <v>17</v>
      </c>
      <c r="N49" s="16">
        <f>VLOOKUP(M49,$A$1:$H$8,6,FALSE)*'Calculator Interface'!$S$14</f>
        <v>66292.203054545447</v>
      </c>
      <c r="O49">
        <f t="shared" si="8"/>
        <v>0.15000000000000002</v>
      </c>
      <c r="P49" s="16">
        <f t="shared" si="13"/>
        <v>57058.22794383685</v>
      </c>
      <c r="Q49" s="16">
        <f t="shared" si="14"/>
        <v>106168.69985577636</v>
      </c>
      <c r="R49" s="16">
        <f t="shared" si="14"/>
        <v>148438.47475638145</v>
      </c>
      <c r="S49" s="16">
        <f t="shared" si="9"/>
        <v>184820.40717502395</v>
      </c>
      <c r="T49" s="16">
        <f t="shared" si="9"/>
        <v>216134.62660550696</v>
      </c>
      <c r="U49" s="16">
        <f t="shared" si="9"/>
        <v>243087.02504484821</v>
      </c>
      <c r="V49" s="16">
        <f t="shared" si="9"/>
        <v>266285.16936537548</v>
      </c>
      <c r="W49" s="16">
        <f t="shared" si="9"/>
        <v>286251.99722031294</v>
      </c>
      <c r="X49" s="16">
        <f t="shared" si="9"/>
        <v>303437.6052189637</v>
      </c>
      <c r="Y49" s="16">
        <f t="shared" si="9"/>
        <v>318229.39510311664</v>
      </c>
      <c r="AD49" t="s">
        <v>17</v>
      </c>
      <c r="AE49" s="25">
        <f>AE38/'Calculator Interface'!$S$14</f>
        <v>3.1340705304361983E-2</v>
      </c>
      <c r="AF49" s="25">
        <f>AF38/'Calculator Interface'!$S$14</f>
        <v>2.6975195042251487E-2</v>
      </c>
      <c r="AG49" s="25">
        <f>AG38/'Calculator Interface'!$S$14</f>
        <v>2.3217765538487554E-2</v>
      </c>
      <c r="AH49" s="25">
        <f>AH38/'Calculator Interface'!$S$14</f>
        <v>1.9983715993743028E-2</v>
      </c>
      <c r="AI49" s="25">
        <f>AI38/'Calculator Interface'!$S$14</f>
        <v>1.7200143754427643E-2</v>
      </c>
      <c r="AJ49" s="25">
        <f>AJ38/'Calculator Interface'!$S$14</f>
        <v>1.4804300925093508E-2</v>
      </c>
      <c r="AK49" s="25">
        <f>AK38/'Calculator Interface'!$S$14</f>
        <v>1.2742179891624851E-2</v>
      </c>
      <c r="AL49" s="25">
        <f>AL38/'Calculator Interface'!$S$14</f>
        <v>1.0967295869764474E-2</v>
      </c>
      <c r="AM49" s="25">
        <f>AM38/'Calculator Interface'!$S$14</f>
        <v>9.4396390349198618E-3</v>
      </c>
      <c r="AN49" s="25">
        <f>AN38/'Calculator Interface'!$S$14</f>
        <v>8.1247726119288936E-3</v>
      </c>
      <c r="AP49" t="s">
        <v>17</v>
      </c>
      <c r="AQ49">
        <f t="shared" si="15"/>
        <v>1855.4168532370486</v>
      </c>
      <c r="AR49">
        <f t="shared" si="16"/>
        <v>3452.3889384116578</v>
      </c>
      <c r="AS49">
        <f t="shared" si="16"/>
        <v>4826.9155502496023</v>
      </c>
      <c r="AT49">
        <f t="shared" si="10"/>
        <v>6009.9815688670278</v>
      </c>
      <c r="AU49">
        <f t="shared" si="10"/>
        <v>7028.2559277284836</v>
      </c>
      <c r="AV49">
        <f t="shared" si="10"/>
        <v>7904.69279058965</v>
      </c>
      <c r="AW49">
        <f t="shared" si="10"/>
        <v>8659.0489892872101</v>
      </c>
      <c r="AX49">
        <f t="shared" si="10"/>
        <v>9308.3293865718861</v>
      </c>
      <c r="AY49">
        <f t="shared" si="10"/>
        <v>9867.1702034512364</v>
      </c>
      <c r="AZ49">
        <f t="shared" si="10"/>
        <v>10348.16895209119</v>
      </c>
      <c r="BB49" s="13">
        <f t="shared" si="17"/>
        <v>3863.8519320217206</v>
      </c>
      <c r="BC49" s="13">
        <f t="shared" si="18"/>
        <v>3356.0535724491156</v>
      </c>
      <c r="BD49" s="13">
        <f t="shared" si="19"/>
        <v>2915.4147458784364</v>
      </c>
      <c r="BE49" s="13">
        <f t="shared" si="20"/>
        <v>2533.0004716700628</v>
      </c>
      <c r="BF49" s="13">
        <f t="shared" si="21"/>
        <v>2201.0710121407419</v>
      </c>
      <c r="BG49" s="13">
        <f t="shared" si="22"/>
        <v>1912.9211810141803</v>
      </c>
      <c r="BH49" s="13">
        <f t="shared" si="23"/>
        <v>1662.741353844154</v>
      </c>
      <c r="BI49" s="13">
        <f t="shared" si="24"/>
        <v>1445.4972375272882</v>
      </c>
      <c r="BJ49" s="13">
        <f t="shared" si="25"/>
        <v>1256.8258565391823</v>
      </c>
      <c r="BK49" s="13">
        <f t="shared" si="26"/>
        <v>1092.9455593601635</v>
      </c>
      <c r="BL49" t="s">
        <v>17</v>
      </c>
      <c r="BM49" s="24">
        <f t="shared" si="27"/>
        <v>3863.8519320217206</v>
      </c>
      <c r="BN49" s="24">
        <f t="shared" si="28"/>
        <v>7219.9055044708366</v>
      </c>
      <c r="BO49" s="24">
        <f t="shared" si="12"/>
        <v>10135.320250349272</v>
      </c>
      <c r="BP49" s="24">
        <f t="shared" si="12"/>
        <v>12668.320722019334</v>
      </c>
      <c r="BQ49" s="24">
        <f t="shared" si="12"/>
        <v>14869.391734160075</v>
      </c>
      <c r="BR49" s="24">
        <f t="shared" si="12"/>
        <v>16782.312915174254</v>
      </c>
      <c r="BS49" s="24">
        <f t="shared" si="12"/>
        <v>18445.054269018408</v>
      </c>
      <c r="BT49" s="24">
        <f t="shared" si="12"/>
        <v>19890.551506545697</v>
      </c>
      <c r="BU49" s="24">
        <f t="shared" si="12"/>
        <v>21147.377363084877</v>
      </c>
      <c r="BV49" s="24">
        <f t="shared" si="12"/>
        <v>22240.322922445041</v>
      </c>
    </row>
    <row r="50" spans="13:74" x14ac:dyDescent="0.2">
      <c r="M50" t="s">
        <v>18</v>
      </c>
      <c r="N50" s="16">
        <f>VLOOKUP(M50,$A$1:$H$8,6,FALSE)*'Calculator Interface'!$S$14</f>
        <v>51560.602375757568</v>
      </c>
      <c r="O50">
        <f t="shared" si="8"/>
        <v>0.15000000000000002</v>
      </c>
      <c r="P50" s="16">
        <f t="shared" si="13"/>
        <v>44378.621734095323</v>
      </c>
      <c r="Q50" s="16">
        <f t="shared" si="14"/>
        <v>82575.655443381605</v>
      </c>
      <c r="R50" s="16">
        <f t="shared" si="14"/>
        <v>115452.14703274111</v>
      </c>
      <c r="S50" s="16">
        <f t="shared" si="9"/>
        <v>143749.20558057417</v>
      </c>
      <c r="T50" s="16">
        <f t="shared" si="9"/>
        <v>168104.70958206092</v>
      </c>
      <c r="U50" s="16">
        <f t="shared" si="9"/>
        <v>189067.68614599301</v>
      </c>
      <c r="V50" s="16">
        <f t="shared" si="9"/>
        <v>207110.68728418089</v>
      </c>
      <c r="W50" s="16">
        <f t="shared" si="9"/>
        <v>222640.44228246561</v>
      </c>
      <c r="X50" s="16">
        <f t="shared" si="9"/>
        <v>236007.02628141618</v>
      </c>
      <c r="Y50" s="16">
        <f t="shared" si="9"/>
        <v>247511.75174686848</v>
      </c>
      <c r="AD50" t="s">
        <v>18</v>
      </c>
      <c r="AE50" s="25">
        <f>AE39/'Calculator Interface'!$S$14</f>
        <v>2.4376104125614886E-2</v>
      </c>
      <c r="AF50" s="25">
        <f>AF39/'Calculator Interface'!$S$14</f>
        <v>2.0980707255084486E-2</v>
      </c>
      <c r="AG50" s="25">
        <f>AG39/'Calculator Interface'!$S$14</f>
        <v>1.8058262085490297E-2</v>
      </c>
      <c r="AH50" s="25">
        <f>AH39/'Calculator Interface'!$S$14</f>
        <v>1.5542890217355707E-2</v>
      </c>
      <c r="AI50" s="25">
        <f>AI39/'Calculator Interface'!$S$14</f>
        <v>1.3377889586777058E-2</v>
      </c>
      <c r="AJ50" s="25">
        <f>AJ39/'Calculator Interface'!$S$14</f>
        <v>1.1514456275072726E-2</v>
      </c>
      <c r="AK50" s="25">
        <f>AK39/'Calculator Interface'!$S$14</f>
        <v>9.9105843601526595E-3</v>
      </c>
      <c r="AL50" s="25">
        <f>AL39/'Calculator Interface'!$S$14</f>
        <v>8.5301190098168115E-3</v>
      </c>
      <c r="AM50" s="25">
        <f>AM39/'Calculator Interface'!$S$14</f>
        <v>7.3419414716043435E-3</v>
      </c>
      <c r="AN50" s="25">
        <f>AN39/'Calculator Interface'!$S$14</f>
        <v>6.3192675870557997E-3</v>
      </c>
      <c r="AP50" t="s">
        <v>18</v>
      </c>
      <c r="AQ50">
        <f t="shared" si="15"/>
        <v>539.42113527081824</v>
      </c>
      <c r="AR50">
        <f t="shared" si="16"/>
        <v>1003.7052090506714</v>
      </c>
      <c r="AS50">
        <f t="shared" si="16"/>
        <v>1403.3182146801112</v>
      </c>
      <c r="AT50">
        <f t="shared" si="10"/>
        <v>1747.2683161085615</v>
      </c>
      <c r="AU50">
        <f t="shared" si="10"/>
        <v>2043.3089119002366</v>
      </c>
      <c r="AV50">
        <f t="shared" si="10"/>
        <v>2298.1134140437575</v>
      </c>
      <c r="AW50">
        <f t="shared" si="10"/>
        <v>2517.4256814677019</v>
      </c>
      <c r="AX50">
        <f t="shared" si="10"/>
        <v>2706.1894993673559</v>
      </c>
      <c r="AY50">
        <f t="shared" si="10"/>
        <v>2868.6600230940353</v>
      </c>
      <c r="AZ50">
        <f t="shared" si="10"/>
        <v>3008.4996987995451</v>
      </c>
      <c r="BB50" s="13">
        <f t="shared" si="17"/>
        <v>1359.416443828477</v>
      </c>
      <c r="BC50" s="13">
        <f t="shared" si="18"/>
        <v>1170.0605764865566</v>
      </c>
      <c r="BD50" s="13">
        <f t="shared" si="19"/>
        <v>1007.0804710824812</v>
      </c>
      <c r="BE50" s="13">
        <f t="shared" si="20"/>
        <v>866.80219436259574</v>
      </c>
      <c r="BF50" s="13">
        <f t="shared" si="21"/>
        <v>746.06356267062984</v>
      </c>
      <c r="BG50" s="13">
        <f t="shared" si="22"/>
        <v>642.14285931070685</v>
      </c>
      <c r="BH50" s="13">
        <f t="shared" si="23"/>
        <v>552.69748101311939</v>
      </c>
      <c r="BI50" s="13">
        <f t="shared" si="24"/>
        <v>475.71113045802815</v>
      </c>
      <c r="BJ50" s="13">
        <f t="shared" si="25"/>
        <v>409.44836445940575</v>
      </c>
      <c r="BK50" s="13">
        <f t="shared" si="26"/>
        <v>352.41547322440579</v>
      </c>
      <c r="BL50" t="s">
        <v>18</v>
      </c>
      <c r="BM50" s="24">
        <f t="shared" si="27"/>
        <v>1359.416443828477</v>
      </c>
      <c r="BN50" s="24">
        <f t="shared" si="28"/>
        <v>2529.4770203150338</v>
      </c>
      <c r="BO50" s="24">
        <f t="shared" si="12"/>
        <v>3536.5574913975152</v>
      </c>
      <c r="BP50" s="24">
        <f t="shared" si="12"/>
        <v>4403.3596857601106</v>
      </c>
      <c r="BQ50" s="24">
        <f t="shared" si="12"/>
        <v>5149.4232484307404</v>
      </c>
      <c r="BR50" s="24">
        <f t="shared" si="12"/>
        <v>5791.566107741447</v>
      </c>
      <c r="BS50" s="24">
        <f t="shared" si="12"/>
        <v>6344.2635887545666</v>
      </c>
      <c r="BT50" s="24">
        <f t="shared" si="12"/>
        <v>6819.9747192125951</v>
      </c>
      <c r="BU50" s="24">
        <f t="shared" si="12"/>
        <v>7229.4230836720008</v>
      </c>
      <c r="BV50" s="24">
        <f t="shared" si="12"/>
        <v>7581.8385568964068</v>
      </c>
    </row>
    <row r="51" spans="13:74" x14ac:dyDescent="0.2">
      <c r="M51" t="s">
        <v>20</v>
      </c>
      <c r="N51" s="16">
        <f>VLOOKUP(M51,$A$1:$H$8,6,FALSE)*'Calculator Interface'!$S$14</f>
        <v>73658.003393939391</v>
      </c>
      <c r="O51">
        <f t="shared" si="8"/>
        <v>0.2</v>
      </c>
      <c r="P51" s="16">
        <f t="shared" si="13"/>
        <v>60306.072588940537</v>
      </c>
      <c r="Q51" s="16">
        <f t="shared" si="14"/>
        <v>109680.50881485926</v>
      </c>
      <c r="R51" s="16">
        <f t="shared" si="14"/>
        <v>150104.87816890649</v>
      </c>
      <c r="S51" s="16">
        <f t="shared" si="9"/>
        <v>183201.55253284809</v>
      </c>
      <c r="T51" s="16">
        <f t="shared" si="9"/>
        <v>210298.81765921472</v>
      </c>
      <c r="U51" s="16">
        <f t="shared" si="9"/>
        <v>232484.18194247861</v>
      </c>
      <c r="V51" s="16">
        <f t="shared" si="9"/>
        <v>250648.02194942461</v>
      </c>
      <c r="W51" s="16">
        <f t="shared" si="9"/>
        <v>265519.31635709951</v>
      </c>
      <c r="X51" s="16">
        <f t="shared" si="9"/>
        <v>277694.90242673951</v>
      </c>
      <c r="Y51" s="16">
        <f t="shared" si="9"/>
        <v>287663.42917870166</v>
      </c>
      <c r="AD51" t="s">
        <v>20</v>
      </c>
      <c r="AE51" s="25">
        <f>AE40/'Calculator Interface'!$S$14</f>
        <v>4.5317311730504552E-2</v>
      </c>
      <c r="AF51" s="25">
        <f>AF40/'Calculator Interface'!$S$14</f>
        <v>3.7102676760585609E-2</v>
      </c>
      <c r="AG51" s="25">
        <f>AG40/'Calculator Interface'!$S$14</f>
        <v>3.0377102485403252E-2</v>
      </c>
      <c r="AH51" s="25">
        <f>AH40/'Calculator Interface'!$S$14</f>
        <v>2.4870667994201186E-2</v>
      </c>
      <c r="AI51" s="25">
        <f>AI40/'Calculator Interface'!$S$14</f>
        <v>2.0362380736444818E-2</v>
      </c>
      <c r="AJ51" s="25">
        <f>AJ40/'Calculator Interface'!$S$14</f>
        <v>1.6671307314810081E-2</v>
      </c>
      <c r="AK51" s="25">
        <f>AK40/'Calculator Interface'!$S$14</f>
        <v>1.3649311992648894E-2</v>
      </c>
      <c r="AL51" s="25">
        <f>AL40/'Calculator Interface'!$S$14</f>
        <v>1.1175111486737763E-2</v>
      </c>
      <c r="AM51" s="25">
        <f>AM40/'Calculator Interface'!$S$14</f>
        <v>9.1494074432672146E-3</v>
      </c>
      <c r="AN51" s="25">
        <f>AN40/'Calculator Interface'!$S$14</f>
        <v>7.4909012462434591E-3</v>
      </c>
      <c r="AP51" t="s">
        <v>20</v>
      </c>
      <c r="AQ51">
        <f t="shared" si="15"/>
        <v>634.38867337286365</v>
      </c>
      <c r="AR51">
        <f t="shared" si="16"/>
        <v>1153.7821896675696</v>
      </c>
      <c r="AS51">
        <f t="shared" si="16"/>
        <v>1579.0256344073559</v>
      </c>
      <c r="AT51">
        <f t="shared" si="10"/>
        <v>1927.1855201606359</v>
      </c>
      <c r="AU51">
        <f t="shared" si="10"/>
        <v>2212.2347256149633</v>
      </c>
      <c r="AV51">
        <f t="shared" si="10"/>
        <v>2445.6132762608654</v>
      </c>
      <c r="AW51">
        <f t="shared" si="10"/>
        <v>2636.6874727834324</v>
      </c>
      <c r="AX51">
        <f t="shared" si="10"/>
        <v>2793.1257935961239</v>
      </c>
      <c r="AY51">
        <f t="shared" si="10"/>
        <v>2921.2066578053536</v>
      </c>
      <c r="AZ51">
        <f t="shared" si="10"/>
        <v>3026.0704002142552</v>
      </c>
      <c r="BB51" s="13">
        <f t="shared" si="17"/>
        <v>1030.5592534757614</v>
      </c>
      <c r="BC51" s="13">
        <f t="shared" si="18"/>
        <v>851.58284965083601</v>
      </c>
      <c r="BD51" s="13">
        <f t="shared" si="19"/>
        <v>703.95838741040245</v>
      </c>
      <c r="BE51" s="13">
        <f t="shared" si="20"/>
        <v>582.15468821786703</v>
      </c>
      <c r="BF51" s="13">
        <f t="shared" si="21"/>
        <v>481.6220386891514</v>
      </c>
      <c r="BG51" s="13">
        <f t="shared" si="22"/>
        <v>398.61722959573035</v>
      </c>
      <c r="BH51" s="13">
        <f t="shared" si="23"/>
        <v>330.05989921998366</v>
      </c>
      <c r="BI51" s="13">
        <f t="shared" si="24"/>
        <v>273.41456375313004</v>
      </c>
      <c r="BJ51" s="13">
        <f t="shared" si="25"/>
        <v>226.59372770310321</v>
      </c>
      <c r="BK51" s="13">
        <f t="shared" si="26"/>
        <v>187.87829553458889</v>
      </c>
      <c r="BL51" t="s">
        <v>20</v>
      </c>
      <c r="BM51" s="24">
        <f t="shared" si="27"/>
        <v>1030.5592534757614</v>
      </c>
      <c r="BN51" s="24">
        <f t="shared" si="28"/>
        <v>1882.1421031265972</v>
      </c>
      <c r="BO51" s="24">
        <f t="shared" si="12"/>
        <v>2586.1004905369996</v>
      </c>
      <c r="BP51" s="24">
        <f t="shared" si="12"/>
        <v>3168.2551787548664</v>
      </c>
      <c r="BQ51" s="24">
        <f t="shared" si="12"/>
        <v>3649.8772174440178</v>
      </c>
      <c r="BR51" s="24">
        <f t="shared" si="12"/>
        <v>4048.4944470397481</v>
      </c>
      <c r="BS51" s="24">
        <f t="shared" si="12"/>
        <v>4378.5543462597316</v>
      </c>
      <c r="BT51" s="24">
        <f t="shared" si="12"/>
        <v>4651.9689100128617</v>
      </c>
      <c r="BU51" s="24">
        <f t="shared" si="12"/>
        <v>4878.5626377159651</v>
      </c>
      <c r="BV51" s="24">
        <f t="shared" si="12"/>
        <v>5066.4409332505538</v>
      </c>
    </row>
    <row r="52" spans="13:74" x14ac:dyDescent="0.2">
      <c r="M52" t="s">
        <v>22</v>
      </c>
      <c r="N52" s="16">
        <f>VLOOKUP(M52,$A$1:$H$8,6,FALSE)*'Calculator Interface'!$S$14</f>
        <v>66292.203054545447</v>
      </c>
      <c r="O52">
        <f t="shared" si="8"/>
        <v>0.15000000000000002</v>
      </c>
      <c r="P52" s="16">
        <f t="shared" si="13"/>
        <v>57058.22794383685</v>
      </c>
      <c r="Q52" s="16">
        <f t="shared" si="14"/>
        <v>106168.69985577636</v>
      </c>
      <c r="R52" s="16">
        <f t="shared" si="14"/>
        <v>148438.47475638145</v>
      </c>
      <c r="S52" s="16">
        <f t="shared" si="9"/>
        <v>184820.40717502395</v>
      </c>
      <c r="T52" s="16">
        <f t="shared" si="9"/>
        <v>216134.62660550696</v>
      </c>
      <c r="U52" s="16">
        <f t="shared" si="9"/>
        <v>243087.02504484821</v>
      </c>
      <c r="V52" s="16">
        <f t="shared" si="9"/>
        <v>266285.16936537548</v>
      </c>
      <c r="W52" s="16">
        <f t="shared" si="9"/>
        <v>286251.99722031294</v>
      </c>
      <c r="X52" s="16">
        <f t="shared" si="9"/>
        <v>303437.6052189637</v>
      </c>
      <c r="Y52" s="16">
        <f t="shared" si="9"/>
        <v>318229.39510311664</v>
      </c>
      <c r="AD52" t="s">
        <v>22</v>
      </c>
      <c r="AE52" s="25">
        <f>AE41/'Calculator Interface'!$S$14</f>
        <v>3.1340705304361983E-2</v>
      </c>
      <c r="AF52" s="25">
        <f>AF41/'Calculator Interface'!$S$14</f>
        <v>2.6975195042251487E-2</v>
      </c>
      <c r="AG52" s="25">
        <f>AG41/'Calculator Interface'!$S$14</f>
        <v>2.3217765538487554E-2</v>
      </c>
      <c r="AH52" s="25">
        <f>AH41/'Calculator Interface'!$S$14</f>
        <v>1.9983715993743028E-2</v>
      </c>
      <c r="AI52" s="25">
        <f>AI41/'Calculator Interface'!$S$14</f>
        <v>1.7200143754427643E-2</v>
      </c>
      <c r="AJ52" s="25">
        <f>AJ41/'Calculator Interface'!$S$14</f>
        <v>1.4804300925093508E-2</v>
      </c>
      <c r="AK52" s="25">
        <f>AK41/'Calculator Interface'!$S$14</f>
        <v>1.2742179891624851E-2</v>
      </c>
      <c r="AL52" s="25">
        <f>AL41/'Calculator Interface'!$S$14</f>
        <v>1.0967295869764474E-2</v>
      </c>
      <c r="AM52" s="25">
        <f>AM41/'Calculator Interface'!$S$14</f>
        <v>9.4396390349198618E-3</v>
      </c>
      <c r="AN52" s="25">
        <f>AN41/'Calculator Interface'!$S$14</f>
        <v>8.1247726119288936E-3</v>
      </c>
      <c r="AP52" t="s">
        <v>22</v>
      </c>
      <c r="AQ52">
        <f t="shared" si="15"/>
        <v>404.89430466567154</v>
      </c>
      <c r="AR52">
        <f t="shared" si="16"/>
        <v>753.39006230049267</v>
      </c>
      <c r="AS52">
        <f t="shared" si="16"/>
        <v>1053.3431406470772</v>
      </c>
      <c r="AT52">
        <f t="shared" si="10"/>
        <v>1311.5151477332324</v>
      </c>
      <c r="AU52">
        <f t="shared" si="10"/>
        <v>1533.725853521953</v>
      </c>
      <c r="AV52">
        <f t="shared" si="10"/>
        <v>1724.9843804413465</v>
      </c>
      <c r="AW52">
        <f t="shared" si="10"/>
        <v>1889.6021201201752</v>
      </c>
      <c r="AX52">
        <f t="shared" si="10"/>
        <v>2031.2899217228066</v>
      </c>
      <c r="AY52">
        <f t="shared" si="10"/>
        <v>2153.2417427243222</v>
      </c>
      <c r="AZ52">
        <f t="shared" si="10"/>
        <v>2258.2066477998883</v>
      </c>
      <c r="BB52" s="13">
        <f t="shared" si="17"/>
        <v>758.09471671758286</v>
      </c>
      <c r="BC52" s="13">
        <f t="shared" si="18"/>
        <v>643.28696236597318</v>
      </c>
      <c r="BD52" s="13">
        <f t="shared" si="19"/>
        <v>546.1407210322177</v>
      </c>
      <c r="BE52" s="13">
        <f t="shared" si="20"/>
        <v>463.89321800958874</v>
      </c>
      <c r="BF52" s="13">
        <f t="shared" si="21"/>
        <v>394.22137525730722</v>
      </c>
      <c r="BG52" s="13">
        <f t="shared" si="22"/>
        <v>335.17061997242899</v>
      </c>
      <c r="BH52" s="13">
        <f t="shared" si="23"/>
        <v>285.09541231688627</v>
      </c>
      <c r="BI52" s="13">
        <f t="shared" si="24"/>
        <v>242.60953313040872</v>
      </c>
      <c r="BJ52" s="13">
        <f t="shared" si="25"/>
        <v>206.54450459270362</v>
      </c>
      <c r="BK52" s="13">
        <f t="shared" si="26"/>
        <v>175.91479192978903</v>
      </c>
      <c r="BL52" t="s">
        <v>22</v>
      </c>
      <c r="BM52" s="24">
        <f t="shared" si="27"/>
        <v>758.09471671758286</v>
      </c>
      <c r="BN52" s="24">
        <f t="shared" si="28"/>
        <v>1401.381679083556</v>
      </c>
      <c r="BO52" s="24">
        <f t="shared" si="12"/>
        <v>1947.5224001157737</v>
      </c>
      <c r="BP52" s="24">
        <f t="shared" si="12"/>
        <v>2411.4156181253625</v>
      </c>
      <c r="BQ52" s="24">
        <f t="shared" si="12"/>
        <v>2805.6369933826695</v>
      </c>
      <c r="BR52" s="24">
        <f t="shared" si="12"/>
        <v>3140.8076133550985</v>
      </c>
      <c r="BS52" s="24">
        <f t="shared" si="12"/>
        <v>3425.9030256719848</v>
      </c>
      <c r="BT52" s="24">
        <f t="shared" si="12"/>
        <v>3668.5125588023934</v>
      </c>
      <c r="BU52" s="24">
        <f t="shared" si="12"/>
        <v>3875.057063395097</v>
      </c>
      <c r="BV52" s="24">
        <f t="shared" si="12"/>
        <v>4050.9718553248858</v>
      </c>
    </row>
    <row r="53" spans="13:74" x14ac:dyDescent="0.2">
      <c r="M53" t="s">
        <v>24</v>
      </c>
      <c r="N53" s="16">
        <f>VLOOKUP(M53,$A$1:$H$8,6,FALSE)*'Calculator Interface'!$S$14</f>
        <v>81023.803733333334</v>
      </c>
      <c r="O53">
        <f t="shared" si="8"/>
        <v>7.5000000000000011E-2</v>
      </c>
      <c r="P53" s="16">
        <f t="shared" si="13"/>
        <v>75169.30615116308</v>
      </c>
      <c r="Q53" s="16">
        <f>P53+$N53*EXP(-$O53*R$35)</f>
        <v>144907.14030474145</v>
      </c>
      <c r="R53" s="16">
        <f>Q53+$N53*EXP(-$O53*S$35)</f>
        <v>209605.96169138467</v>
      </c>
      <c r="S53" s="16">
        <f t="shared" si="9"/>
        <v>269629.87180597743</v>
      </c>
      <c r="T53" s="16">
        <f t="shared" si="9"/>
        <v>325316.66343876137</v>
      </c>
      <c r="U53" s="16">
        <f t="shared" si="9"/>
        <v>376979.72165061202</v>
      </c>
      <c r="V53" s="16">
        <f t="shared" si="9"/>
        <v>424909.78739046934</v>
      </c>
      <c r="W53" s="16">
        <f t="shared" si="9"/>
        <v>469376.59367992129</v>
      </c>
      <c r="X53" s="16">
        <f t="shared" si="9"/>
        <v>510630.38357279386</v>
      </c>
      <c r="Y53" s="16">
        <f t="shared" si="9"/>
        <v>548903.31843227311</v>
      </c>
      <c r="AD53" t="s">
        <v>24</v>
      </c>
      <c r="AE53" s="25">
        <f>AE42/'Calculator Interface'!$S$14</f>
        <v>1.9870541259647979E-2</v>
      </c>
      <c r="AF53" s="25">
        <f>AF42/'Calculator Interface'!$S$14</f>
        <v>1.843476522346111E-2</v>
      </c>
      <c r="AG53" s="25">
        <f>AG42/'Calculator Interface'!$S$14</f>
        <v>1.7102733358062221E-2</v>
      </c>
      <c r="AH53" s="25">
        <f>AH42/'Calculator Interface'!$S$14</f>
        <v>1.5866949471356296E-2</v>
      </c>
      <c r="AI53" s="25">
        <f>AI42/'Calculator Interface'!$S$14</f>
        <v>1.4720459019955072E-2</v>
      </c>
      <c r="AJ53" s="25">
        <f>AJ42/'Calculator Interface'!$S$14</f>
        <v>1.3656809971529689E-2</v>
      </c>
      <c r="AK53" s="25">
        <f>AK42/'Calculator Interface'!$S$14</f>
        <v>1.2670016495113533E-2</v>
      </c>
      <c r="AL53" s="25">
        <f>AL42/'Calculator Interface'!$S$14</f>
        <v>1.1754525275016846E-2</v>
      </c>
      <c r="AM53" s="25">
        <f>AM42/'Calculator Interface'!$S$14</f>
        <v>1.0905184258781255E-2</v>
      </c>
      <c r="AN53" s="25">
        <f>AN42/'Calculator Interface'!$S$14</f>
        <v>1.0117213663296994E-2</v>
      </c>
      <c r="AP53" t="s">
        <v>24</v>
      </c>
      <c r="AQ53">
        <f t="shared" si="15"/>
        <v>58.055794518227792</v>
      </c>
      <c r="AR53">
        <f t="shared" si="16"/>
        <v>111.91667972614235</v>
      </c>
      <c r="AS53">
        <f t="shared" si="16"/>
        <v>161.88576514567512</v>
      </c>
      <c r="AT53">
        <f t="shared" si="10"/>
        <v>208.24425866144176</v>
      </c>
      <c r="AU53">
        <f t="shared" si="10"/>
        <v>251.2530490566987</v>
      </c>
      <c r="AV53">
        <f t="shared" si="10"/>
        <v>291.1541742007683</v>
      </c>
      <c r="AW53">
        <f t="shared" si="10"/>
        <v>328.17218315035939</v>
      </c>
      <c r="AX53">
        <f t="shared" si="10"/>
        <v>362.51539983019444</v>
      </c>
      <c r="AY53">
        <f t="shared" si="10"/>
        <v>394.37709540448162</v>
      </c>
      <c r="AZ53">
        <f t="shared" si="10"/>
        <v>423.93657593690989</v>
      </c>
      <c r="BB53" s="13">
        <f t="shared" si="17"/>
        <v>217.28790538028139</v>
      </c>
      <c r="BC53" s="13">
        <f t="shared" si="18"/>
        <v>192.19898648496991</v>
      </c>
      <c r="BD53" s="13">
        <f t="shared" si="19"/>
        <v>170.23064193239864</v>
      </c>
      <c r="BE53" s="13">
        <f t="shared" si="20"/>
        <v>150.97523263212136</v>
      </c>
      <c r="BF53" s="13">
        <f t="shared" si="21"/>
        <v>134.07994712764389</v>
      </c>
      <c r="BG53" s="13">
        <f t="shared" si="22"/>
        <v>119.23930567864245</v>
      </c>
      <c r="BH53" s="13">
        <f t="shared" si="23"/>
        <v>106.18869826686989</v>
      </c>
      <c r="BI53" s="13">
        <f t="shared" si="24"/>
        <v>94.698813245281755</v>
      </c>
      <c r="BJ53" s="13">
        <f t="shared" si="25"/>
        <v>84.570833254514099</v>
      </c>
      <c r="BK53" s="13">
        <f t="shared" si="26"/>
        <v>75.632292166704815</v>
      </c>
      <c r="BL53" t="s">
        <v>24</v>
      </c>
      <c r="BM53" s="24">
        <f t="shared" si="27"/>
        <v>217.28790538028139</v>
      </c>
      <c r="BN53" s="24">
        <f t="shared" si="28"/>
        <v>409.48689186525132</v>
      </c>
      <c r="BO53" s="24">
        <f t="shared" si="12"/>
        <v>579.71753379764993</v>
      </c>
      <c r="BP53" s="24">
        <f t="shared" si="12"/>
        <v>730.69276642977127</v>
      </c>
      <c r="BQ53" s="24">
        <f t="shared" si="12"/>
        <v>864.77271355741516</v>
      </c>
      <c r="BR53" s="24">
        <f t="shared" si="12"/>
        <v>984.01201923605765</v>
      </c>
      <c r="BS53" s="24">
        <f t="shared" si="12"/>
        <v>1090.2007175029275</v>
      </c>
      <c r="BT53" s="24">
        <f t="shared" si="12"/>
        <v>1184.8995307482094</v>
      </c>
      <c r="BU53" s="24">
        <f t="shared" si="12"/>
        <v>1269.4703640027235</v>
      </c>
      <c r="BV53" s="24">
        <f t="shared" si="12"/>
        <v>1345.1026561694284</v>
      </c>
    </row>
    <row r="56" spans="13:74" x14ac:dyDescent="0.2">
      <c r="N56" s="74" t="s">
        <v>218</v>
      </c>
      <c r="O56" s="74"/>
      <c r="P56" s="74"/>
      <c r="Q56" s="74"/>
      <c r="R56" s="74"/>
      <c r="S56" s="74"/>
      <c r="T56" s="74"/>
      <c r="U56" s="74"/>
      <c r="V56" s="74"/>
      <c r="W56" s="74"/>
      <c r="X56" s="74"/>
      <c r="Y56" s="74"/>
      <c r="AE56" t="s">
        <v>227</v>
      </c>
      <c r="AQ56" t="s">
        <v>231</v>
      </c>
    </row>
    <row r="57" spans="13:74" x14ac:dyDescent="0.2">
      <c r="P57">
        <v>1</v>
      </c>
      <c r="Q57">
        <v>2</v>
      </c>
      <c r="R57">
        <v>3</v>
      </c>
      <c r="S57">
        <v>4</v>
      </c>
      <c r="T57">
        <v>5</v>
      </c>
      <c r="U57">
        <v>6</v>
      </c>
      <c r="V57">
        <v>7</v>
      </c>
      <c r="W57">
        <v>8</v>
      </c>
      <c r="X57">
        <v>9</v>
      </c>
      <c r="Y57">
        <v>10</v>
      </c>
      <c r="AQ57">
        <v>1</v>
      </c>
      <c r="AR57">
        <v>2</v>
      </c>
      <c r="AS57">
        <v>3</v>
      </c>
      <c r="AT57">
        <v>4</v>
      </c>
      <c r="AU57">
        <v>5</v>
      </c>
      <c r="AV57">
        <v>6</v>
      </c>
      <c r="AW57">
        <v>7</v>
      </c>
      <c r="AX57">
        <v>8</v>
      </c>
      <c r="AY57">
        <v>9</v>
      </c>
      <c r="AZ57">
        <v>10</v>
      </c>
    </row>
    <row r="58" spans="13:74" x14ac:dyDescent="0.2">
      <c r="M58" t="s">
        <v>14</v>
      </c>
      <c r="N58" s="16">
        <f>N36*0.26</f>
        <v>21066.188970666666</v>
      </c>
      <c r="P58">
        <f t="shared" ref="P58:Y64" si="29">$N58*EXP(-$O36*Q$35)</f>
        <v>19544.019599302403</v>
      </c>
      <c r="Q58">
        <f t="shared" si="29"/>
        <v>18131.836879930379</v>
      </c>
      <c r="R58">
        <f t="shared" si="29"/>
        <v>16821.693560527241</v>
      </c>
      <c r="S58">
        <f t="shared" si="29"/>
        <v>15606.216629794109</v>
      </c>
      <c r="T58">
        <f t="shared" si="29"/>
        <v>14478.565824523825</v>
      </c>
      <c r="U58">
        <f t="shared" si="29"/>
        <v>13432.395135081171</v>
      </c>
      <c r="V58">
        <f t="shared" si="29"/>
        <v>12461.817092362899</v>
      </c>
      <c r="W58">
        <f t="shared" si="29"/>
        <v>11561.369635257506</v>
      </c>
      <c r="X58">
        <f t="shared" si="29"/>
        <v>10725.98537214687</v>
      </c>
      <c r="Y58">
        <f t="shared" si="29"/>
        <v>9950.9630634645964</v>
      </c>
      <c r="AB58" t="s">
        <v>14</v>
      </c>
      <c r="AC58" s="16">
        <f>'Calculator Interface'!$S$14</f>
        <v>294632.01357575756</v>
      </c>
      <c r="AE58" s="16">
        <f>N58-P58</f>
        <v>1522.1693713642635</v>
      </c>
      <c r="AF58">
        <f>P58-Q58</f>
        <v>1412.1827193720237</v>
      </c>
      <c r="AG58">
        <f t="shared" ref="AG58:AN64" si="30">Q58-R58</f>
        <v>1310.1433194031379</v>
      </c>
      <c r="AH58">
        <f t="shared" si="30"/>
        <v>1215.4769307331317</v>
      </c>
      <c r="AI58">
        <f t="shared" si="30"/>
        <v>1127.6508052702848</v>
      </c>
      <c r="AJ58">
        <f t="shared" si="30"/>
        <v>1046.1706894426534</v>
      </c>
      <c r="AK58">
        <f t="shared" si="30"/>
        <v>970.57804271827263</v>
      </c>
      <c r="AL58">
        <f t="shared" si="30"/>
        <v>900.44745710539246</v>
      </c>
      <c r="AM58">
        <f t="shared" si="30"/>
        <v>835.38426311063631</v>
      </c>
      <c r="AN58">
        <f t="shared" si="30"/>
        <v>775.02230868227343</v>
      </c>
      <c r="AP58" t="s">
        <v>14</v>
      </c>
      <c r="AQ58" s="16">
        <f>AE71</f>
        <v>286.04074965420102</v>
      </c>
      <c r="AR58" s="16">
        <f>AQ58+AF71</f>
        <v>551.41319197042139</v>
      </c>
      <c r="AS58" s="16">
        <f t="shared" ref="AS58:AZ58" si="31">AR58+AG71</f>
        <v>797.61074678039517</v>
      </c>
      <c r="AT58" s="16">
        <f t="shared" si="31"/>
        <v>1026.0189246053653</v>
      </c>
      <c r="AU58" s="16">
        <f>AT58+AI71</f>
        <v>1237.9231238066552</v>
      </c>
      <c r="AV58" s="16">
        <f t="shared" si="31"/>
        <v>1434.5158643413197</v>
      </c>
      <c r="AW58" s="16">
        <f t="shared" si="31"/>
        <v>1616.9034988318344</v>
      </c>
      <c r="AX58" s="16">
        <f t="shared" si="31"/>
        <v>1786.1124387172815</v>
      </c>
      <c r="AY58" s="16">
        <f t="shared" si="31"/>
        <v>1943.0949305245654</v>
      </c>
      <c r="AZ58" s="16">
        <f t="shared" si="31"/>
        <v>2088.7344147663985</v>
      </c>
      <c r="BB58" s="16"/>
      <c r="BC58" s="16"/>
      <c r="BD58" s="16"/>
      <c r="BE58" s="16"/>
      <c r="BF58" s="16"/>
      <c r="BG58" s="16"/>
      <c r="BH58" s="16"/>
      <c r="BI58" s="16"/>
      <c r="BJ58" s="16"/>
      <c r="BK58" s="16"/>
    </row>
    <row r="59" spans="13:74" x14ac:dyDescent="0.2">
      <c r="M59" t="s">
        <v>16</v>
      </c>
      <c r="N59" s="16">
        <f t="shared" ref="N59:N64" si="32">N37*0.26</f>
        <v>17235.972794181816</v>
      </c>
      <c r="P59">
        <f t="shared" si="29"/>
        <v>15210.692603897807</v>
      </c>
      <c r="Q59">
        <f t="shared" si="29"/>
        <v>13423.389109106229</v>
      </c>
      <c r="R59">
        <f t="shared" si="29"/>
        <v>11846.099310974039</v>
      </c>
      <c r="S59">
        <f t="shared" si="29"/>
        <v>10454.145949644098</v>
      </c>
      <c r="T59">
        <f t="shared" si="29"/>
        <v>9225.7514197282107</v>
      </c>
      <c r="U59">
        <f t="shared" si="29"/>
        <v>8141.6970519255792</v>
      </c>
      <c r="V59">
        <f t="shared" si="29"/>
        <v>7185.0224301064554</v>
      </c>
      <c r="W59">
        <f t="shared" si="29"/>
        <v>6340.76003956979</v>
      </c>
      <c r="X59">
        <f t="shared" si="29"/>
        <v>5595.7010949525165</v>
      </c>
      <c r="Y59">
        <f t="shared" si="29"/>
        <v>4938.1888840848242</v>
      </c>
      <c r="AB59" t="s">
        <v>16</v>
      </c>
      <c r="AC59" s="16">
        <f>'Calculator Interface'!$S$14</f>
        <v>294632.01357575756</v>
      </c>
      <c r="AE59" s="16">
        <f t="shared" ref="AE59:AE64" si="33">N59-P59</f>
        <v>2025.2801902840092</v>
      </c>
      <c r="AF59">
        <f t="shared" ref="AF59:AF64" si="34">P59-Q59</f>
        <v>1787.3034947915785</v>
      </c>
      <c r="AG59">
        <f t="shared" si="30"/>
        <v>1577.2897981321894</v>
      </c>
      <c r="AH59">
        <f t="shared" si="30"/>
        <v>1391.9533613299409</v>
      </c>
      <c r="AI59">
        <f t="shared" si="30"/>
        <v>1228.3945299158877</v>
      </c>
      <c r="AJ59">
        <f t="shared" si="30"/>
        <v>1084.0543678026315</v>
      </c>
      <c r="AK59">
        <f t="shared" si="30"/>
        <v>956.67462181912379</v>
      </c>
      <c r="AL59">
        <f t="shared" si="30"/>
        <v>844.26239053666541</v>
      </c>
      <c r="AM59">
        <f t="shared" si="30"/>
        <v>745.05894461727348</v>
      </c>
      <c r="AN59">
        <f t="shared" si="30"/>
        <v>657.51221086769237</v>
      </c>
      <c r="AP59" t="s">
        <v>16</v>
      </c>
      <c r="AQ59" s="16">
        <f t="shared" ref="AQ59:AQ64" si="35">AE72</f>
        <v>1048.9160844848122</v>
      </c>
      <c r="AR59" s="16">
        <f t="shared" ref="AR59:AR64" si="36">AQ59+AF72</f>
        <v>1974.5812801138231</v>
      </c>
      <c r="AS59" s="16">
        <f t="shared" ref="AS59:AS64" si="37">AR59+AG72</f>
        <v>2791.4779480867869</v>
      </c>
      <c r="AT59" s="16">
        <f t="shared" ref="AT59:AT64" si="38">AS59+AH72</f>
        <v>3512.3867273046053</v>
      </c>
      <c r="AU59" s="16">
        <f t="shared" ref="AU59:AU64" si="39">AT59+AI72</f>
        <v>4148.5864920103713</v>
      </c>
      <c r="AV59" s="16">
        <f t="shared" ref="AV59:AV64" si="40">AU59+AJ72</f>
        <v>4710.0308137882585</v>
      </c>
      <c r="AW59" s="16">
        <f t="shared" ref="AW59:AW64" si="41">AV59+AK72</f>
        <v>5205.5036887309525</v>
      </c>
      <c r="AX59" s="16">
        <f t="shared" ref="AX59:AX64" si="42">AW59+AL72</f>
        <v>5642.7569661825646</v>
      </c>
      <c r="AY59" s="16">
        <f t="shared" ref="AY59:AY64" si="43">AX59+AM72</f>
        <v>6028.6316291785752</v>
      </c>
      <c r="AZ59" s="16">
        <f t="shared" ref="AZ59:AZ64" si="44">AY59+AN72</f>
        <v>6369.1648240584291</v>
      </c>
      <c r="BB59" s="16"/>
      <c r="BC59" s="16"/>
      <c r="BD59" s="16"/>
      <c r="BE59" s="16"/>
      <c r="BF59" s="16"/>
      <c r="BG59" s="16"/>
      <c r="BH59" s="16"/>
      <c r="BI59" s="16"/>
      <c r="BJ59" s="16"/>
      <c r="BK59" s="16"/>
    </row>
    <row r="60" spans="13:74" x14ac:dyDescent="0.2">
      <c r="M60" t="s">
        <v>17</v>
      </c>
      <c r="N60" s="16">
        <f t="shared" si="32"/>
        <v>17235.972794181816</v>
      </c>
      <c r="P60">
        <f t="shared" si="29"/>
        <v>14835.13926539758</v>
      </c>
      <c r="Q60">
        <f t="shared" si="29"/>
        <v>12768.722697104271</v>
      </c>
      <c r="R60">
        <f t="shared" si="29"/>
        <v>10990.141474157321</v>
      </c>
      <c r="S60">
        <f t="shared" si="29"/>
        <v>9459.3024288470497</v>
      </c>
      <c r="T60">
        <f t="shared" si="29"/>
        <v>8141.6970519255783</v>
      </c>
      <c r="U60">
        <f t="shared" si="29"/>
        <v>7007.6235942287231</v>
      </c>
      <c r="V60">
        <f t="shared" si="29"/>
        <v>6031.5175233370946</v>
      </c>
      <c r="W60">
        <f t="shared" si="29"/>
        <v>5191.375242283747</v>
      </c>
      <c r="X60">
        <f t="shared" si="29"/>
        <v>4468.2580796491893</v>
      </c>
      <c r="Y60">
        <f t="shared" si="29"/>
        <v>3845.8653698797675</v>
      </c>
      <c r="AB60" t="s">
        <v>17</v>
      </c>
      <c r="AC60" s="16">
        <f>'Calculator Interface'!$S$14</f>
        <v>294632.01357575756</v>
      </c>
      <c r="AE60" s="16">
        <f t="shared" si="33"/>
        <v>2400.8335287842365</v>
      </c>
      <c r="AF60">
        <f t="shared" si="34"/>
        <v>2066.416568293309</v>
      </c>
      <c r="AG60">
        <f t="shared" si="30"/>
        <v>1778.5812229469502</v>
      </c>
      <c r="AH60">
        <f t="shared" si="30"/>
        <v>1530.8390453102711</v>
      </c>
      <c r="AI60">
        <f t="shared" si="30"/>
        <v>1317.6053769214714</v>
      </c>
      <c r="AJ60">
        <f t="shared" si="30"/>
        <v>1134.0734576968553</v>
      </c>
      <c r="AK60">
        <f t="shared" si="30"/>
        <v>976.10607089162841</v>
      </c>
      <c r="AL60">
        <f t="shared" si="30"/>
        <v>840.14228105334769</v>
      </c>
      <c r="AM60">
        <f t="shared" si="30"/>
        <v>723.11716263455764</v>
      </c>
      <c r="AN60">
        <f t="shared" si="30"/>
        <v>622.3927097694218</v>
      </c>
      <c r="AP60" t="s">
        <v>17</v>
      </c>
      <c r="AQ60" s="16">
        <f t="shared" si="35"/>
        <v>482.40838184163266</v>
      </c>
      <c r="AR60" s="16">
        <f t="shared" si="36"/>
        <v>897.62112398703107</v>
      </c>
      <c r="AS60" s="16">
        <f t="shared" si="37"/>
        <v>1254.9980430648966</v>
      </c>
      <c r="AT60" s="16">
        <f t="shared" si="38"/>
        <v>1562.5952079054273</v>
      </c>
      <c r="AU60" s="16">
        <f t="shared" si="39"/>
        <v>1827.3465412094056</v>
      </c>
      <c r="AV60" s="16">
        <f t="shared" si="40"/>
        <v>2055.2201255533087</v>
      </c>
      <c r="AW60" s="16">
        <f t="shared" si="41"/>
        <v>2251.3527372146746</v>
      </c>
      <c r="AX60" s="16">
        <f t="shared" si="42"/>
        <v>2420.1656405086901</v>
      </c>
      <c r="AY60" s="16">
        <f t="shared" si="43"/>
        <v>2565.4642528973209</v>
      </c>
      <c r="AZ60" s="16">
        <f t="shared" si="44"/>
        <v>2690.5239275437089</v>
      </c>
      <c r="BB60" s="16"/>
      <c r="BC60" s="16"/>
      <c r="BD60" s="16"/>
      <c r="BE60" s="16"/>
      <c r="BF60" s="16"/>
      <c r="BG60" s="16"/>
      <c r="BH60" s="16"/>
      <c r="BI60" s="16"/>
      <c r="BJ60" s="16"/>
      <c r="BK60" s="16"/>
    </row>
    <row r="61" spans="13:74" x14ac:dyDescent="0.2">
      <c r="M61" t="s">
        <v>18</v>
      </c>
      <c r="N61" s="16">
        <f t="shared" si="32"/>
        <v>13405.756617696969</v>
      </c>
      <c r="P61">
        <f t="shared" si="29"/>
        <v>11538.441650864785</v>
      </c>
      <c r="Q61">
        <f t="shared" si="29"/>
        <v>9931.2287644144326</v>
      </c>
      <c r="R61">
        <f t="shared" si="29"/>
        <v>8547.8878132334721</v>
      </c>
      <c r="S61">
        <f t="shared" si="29"/>
        <v>7357.235222436595</v>
      </c>
      <c r="T61">
        <f t="shared" si="29"/>
        <v>6332.4310403865611</v>
      </c>
      <c r="U61">
        <f t="shared" si="29"/>
        <v>5450.3739066223407</v>
      </c>
      <c r="V61">
        <f t="shared" si="29"/>
        <v>4691.1802959288516</v>
      </c>
      <c r="W61">
        <f t="shared" si="29"/>
        <v>4037.7362995540252</v>
      </c>
      <c r="X61">
        <f t="shared" si="29"/>
        <v>3475.3118397271469</v>
      </c>
      <c r="Y61">
        <f t="shared" si="29"/>
        <v>2991.2286210175971</v>
      </c>
      <c r="AB61" t="s">
        <v>18</v>
      </c>
      <c r="AC61" s="16">
        <f>'Calculator Interface'!$S$14</f>
        <v>294632.01357575756</v>
      </c>
      <c r="AE61" s="16">
        <f t="shared" si="33"/>
        <v>1867.3149668321839</v>
      </c>
      <c r="AF61">
        <f t="shared" si="34"/>
        <v>1607.212886450352</v>
      </c>
      <c r="AG61">
        <f t="shared" si="30"/>
        <v>1383.3409511809605</v>
      </c>
      <c r="AH61">
        <f t="shared" si="30"/>
        <v>1190.6525907968771</v>
      </c>
      <c r="AI61">
        <f t="shared" si="30"/>
        <v>1024.8041820500339</v>
      </c>
      <c r="AJ61">
        <f t="shared" si="30"/>
        <v>882.05713376422045</v>
      </c>
      <c r="AK61">
        <f t="shared" si="30"/>
        <v>759.19361069348906</v>
      </c>
      <c r="AL61">
        <f t="shared" si="30"/>
        <v>653.44399637482638</v>
      </c>
      <c r="AM61">
        <f t="shared" si="30"/>
        <v>562.42445982687832</v>
      </c>
      <c r="AN61">
        <f t="shared" si="30"/>
        <v>484.08321870954978</v>
      </c>
      <c r="AP61" t="s">
        <v>18</v>
      </c>
      <c r="AQ61" s="16">
        <f t="shared" si="35"/>
        <v>140.24949517041276</v>
      </c>
      <c r="AR61" s="16">
        <f t="shared" si="36"/>
        <v>260.96335435317462</v>
      </c>
      <c r="AS61" s="16">
        <f t="shared" si="37"/>
        <v>364.86273581682894</v>
      </c>
      <c r="AT61" s="16">
        <f t="shared" si="38"/>
        <v>454.28976218822606</v>
      </c>
      <c r="AU61" s="16">
        <f t="shared" si="39"/>
        <v>531.26031709406152</v>
      </c>
      <c r="AV61" s="16">
        <f t="shared" si="40"/>
        <v>597.50948765137696</v>
      </c>
      <c r="AW61" s="16">
        <f t="shared" si="41"/>
        <v>654.53067718160241</v>
      </c>
      <c r="AX61" s="16">
        <f t="shared" si="42"/>
        <v>703.60926983551246</v>
      </c>
      <c r="AY61" s="16">
        <f t="shared" si="43"/>
        <v>745.85160600444908</v>
      </c>
      <c r="AZ61" s="16">
        <f t="shared" si="44"/>
        <v>782.20992168788166</v>
      </c>
      <c r="BB61" s="16"/>
      <c r="BC61" s="16"/>
      <c r="BD61" s="16"/>
      <c r="BE61" s="16"/>
      <c r="BF61" s="16"/>
      <c r="BG61" s="16"/>
      <c r="BH61" s="16"/>
      <c r="BI61" s="16"/>
      <c r="BJ61" s="16"/>
      <c r="BK61" s="16"/>
    </row>
    <row r="62" spans="13:74" x14ac:dyDescent="0.2">
      <c r="M62" t="s">
        <v>20</v>
      </c>
      <c r="N62" s="16">
        <f t="shared" si="32"/>
        <v>19151.080882424241</v>
      </c>
      <c r="P62">
        <f t="shared" si="29"/>
        <v>15679.578873124539</v>
      </c>
      <c r="Q62">
        <f t="shared" si="29"/>
        <v>12837.35341873887</v>
      </c>
      <c r="R62">
        <f t="shared" si="29"/>
        <v>10510.336032052279</v>
      </c>
      <c r="S62">
        <f t="shared" si="29"/>
        <v>8605.1353346248106</v>
      </c>
      <c r="T62">
        <f t="shared" si="29"/>
        <v>7045.2889328553229</v>
      </c>
      <c r="U62">
        <f t="shared" si="29"/>
        <v>5768.1947136486078</v>
      </c>
      <c r="V62">
        <f t="shared" si="29"/>
        <v>4722.5984018059589</v>
      </c>
      <c r="W62">
        <f t="shared" si="29"/>
        <v>3866.5365459954664</v>
      </c>
      <c r="X62">
        <f t="shared" si="29"/>
        <v>3165.6523781064075</v>
      </c>
      <c r="Y62">
        <f t="shared" si="29"/>
        <v>2591.8169555101636</v>
      </c>
      <c r="AB62" t="s">
        <v>20</v>
      </c>
      <c r="AC62" s="16">
        <f>'Calculator Interface'!$S$14</f>
        <v>294632.01357575756</v>
      </c>
      <c r="AE62" s="16">
        <f t="shared" si="33"/>
        <v>3471.502009299702</v>
      </c>
      <c r="AF62">
        <f t="shared" si="34"/>
        <v>2842.2254543856689</v>
      </c>
      <c r="AG62">
        <f t="shared" si="30"/>
        <v>2327.0173866865916</v>
      </c>
      <c r="AH62">
        <f t="shared" si="30"/>
        <v>1905.2006974274682</v>
      </c>
      <c r="AI62">
        <f t="shared" si="30"/>
        <v>1559.8464017694878</v>
      </c>
      <c r="AJ62">
        <f t="shared" si="30"/>
        <v>1277.094219206715</v>
      </c>
      <c r="AK62">
        <f t="shared" si="30"/>
        <v>1045.5963118426489</v>
      </c>
      <c r="AL62">
        <f t="shared" si="30"/>
        <v>856.06185581049249</v>
      </c>
      <c r="AM62">
        <f t="shared" si="30"/>
        <v>700.88416788905897</v>
      </c>
      <c r="AN62">
        <f t="shared" si="30"/>
        <v>573.83542259624392</v>
      </c>
      <c r="AP62" t="s">
        <v>20</v>
      </c>
      <c r="AQ62" s="16">
        <f t="shared" si="35"/>
        <v>164.94105507694456</v>
      </c>
      <c r="AR62" s="16">
        <f t="shared" si="36"/>
        <v>299.98336931356812</v>
      </c>
      <c r="AS62" s="16">
        <f t="shared" si="37"/>
        <v>410.5466649459126</v>
      </c>
      <c r="AT62" s="16">
        <f t="shared" si="38"/>
        <v>501.06823524176536</v>
      </c>
      <c r="AU62" s="16">
        <f t="shared" si="39"/>
        <v>575.18102865989044</v>
      </c>
      <c r="AV62" s="16">
        <f t="shared" si="40"/>
        <v>635.85945182782496</v>
      </c>
      <c r="AW62" s="16">
        <f t="shared" si="41"/>
        <v>685.53874292369233</v>
      </c>
      <c r="AX62" s="16">
        <f t="shared" si="42"/>
        <v>726.21270633499216</v>
      </c>
      <c r="AY62" s="16">
        <f t="shared" si="43"/>
        <v>759.51373102939192</v>
      </c>
      <c r="AZ62" s="16">
        <f t="shared" si="44"/>
        <v>786.77830405570626</v>
      </c>
      <c r="BB62" s="16"/>
      <c r="BC62" s="16"/>
      <c r="BD62" s="16"/>
      <c r="BE62" s="16"/>
      <c r="BF62" s="16"/>
      <c r="BG62" s="16"/>
      <c r="BH62" s="16"/>
      <c r="BI62" s="16"/>
      <c r="BJ62" s="16"/>
      <c r="BK62" s="16"/>
    </row>
    <row r="63" spans="13:74" x14ac:dyDescent="0.2">
      <c r="M63" t="s">
        <v>22</v>
      </c>
      <c r="N63" s="16">
        <f t="shared" si="32"/>
        <v>17235.972794181816</v>
      </c>
      <c r="P63">
        <f t="shared" si="29"/>
        <v>14835.13926539758</v>
      </c>
      <c r="Q63">
        <f t="shared" si="29"/>
        <v>12768.722697104271</v>
      </c>
      <c r="R63">
        <f t="shared" si="29"/>
        <v>10990.141474157321</v>
      </c>
      <c r="S63">
        <f t="shared" si="29"/>
        <v>9459.3024288470497</v>
      </c>
      <c r="T63">
        <f t="shared" si="29"/>
        <v>8141.6970519255783</v>
      </c>
      <c r="U63">
        <f t="shared" si="29"/>
        <v>7007.6235942287231</v>
      </c>
      <c r="V63">
        <f t="shared" si="29"/>
        <v>6031.5175233370946</v>
      </c>
      <c r="W63">
        <f t="shared" si="29"/>
        <v>5191.375242283747</v>
      </c>
      <c r="X63">
        <f t="shared" si="29"/>
        <v>4468.2580796491893</v>
      </c>
      <c r="Y63">
        <f t="shared" si="29"/>
        <v>3845.8653698797675</v>
      </c>
      <c r="AB63" t="s">
        <v>22</v>
      </c>
      <c r="AC63" s="16">
        <f>'Calculator Interface'!$S$14</f>
        <v>294632.01357575756</v>
      </c>
      <c r="AE63" s="16">
        <f t="shared" si="33"/>
        <v>2400.8335287842365</v>
      </c>
      <c r="AF63">
        <f t="shared" si="34"/>
        <v>2066.416568293309</v>
      </c>
      <c r="AG63">
        <f t="shared" si="30"/>
        <v>1778.5812229469502</v>
      </c>
      <c r="AH63">
        <f t="shared" si="30"/>
        <v>1530.8390453102711</v>
      </c>
      <c r="AI63">
        <f t="shared" si="30"/>
        <v>1317.6053769214714</v>
      </c>
      <c r="AJ63">
        <f t="shared" si="30"/>
        <v>1134.0734576968553</v>
      </c>
      <c r="AK63">
        <f t="shared" si="30"/>
        <v>976.10607089162841</v>
      </c>
      <c r="AL63">
        <f t="shared" si="30"/>
        <v>840.14228105334769</v>
      </c>
      <c r="AM63">
        <f t="shared" si="30"/>
        <v>723.11716263455764</v>
      </c>
      <c r="AN63">
        <f t="shared" si="30"/>
        <v>622.3927097694218</v>
      </c>
      <c r="AP63" t="s">
        <v>22</v>
      </c>
      <c r="AQ63" s="16">
        <f t="shared" si="35"/>
        <v>105.2725192130746</v>
      </c>
      <c r="AR63" s="16">
        <f t="shared" si="36"/>
        <v>195.88141619812808</v>
      </c>
      <c r="AS63" s="16">
        <f t="shared" si="37"/>
        <v>273.86921656824006</v>
      </c>
      <c r="AT63" s="16">
        <f t="shared" si="38"/>
        <v>340.9939384106404</v>
      </c>
      <c r="AU63" s="16">
        <f t="shared" si="39"/>
        <v>398.76872191570772</v>
      </c>
      <c r="AV63" s="16">
        <f t="shared" si="40"/>
        <v>448.49593891475001</v>
      </c>
      <c r="AW63" s="16">
        <f t="shared" si="41"/>
        <v>491.29655123124547</v>
      </c>
      <c r="AX63" s="16">
        <f t="shared" si="42"/>
        <v>528.13537964792965</v>
      </c>
      <c r="AY63" s="16">
        <f t="shared" si="43"/>
        <v>559.84285310832377</v>
      </c>
      <c r="AZ63" s="16">
        <f t="shared" si="44"/>
        <v>587.13372842797094</v>
      </c>
      <c r="BB63" s="16"/>
      <c r="BC63" s="16"/>
      <c r="BD63" s="16"/>
      <c r="BE63" s="16"/>
      <c r="BF63" s="16"/>
      <c r="BG63" s="16"/>
      <c r="BH63" s="16"/>
      <c r="BI63" s="16"/>
      <c r="BJ63" s="16"/>
      <c r="BK63" s="16"/>
    </row>
    <row r="64" spans="13:74" x14ac:dyDescent="0.2">
      <c r="M64" t="s">
        <v>24</v>
      </c>
      <c r="N64" s="16">
        <f t="shared" si="32"/>
        <v>21066.188970666666</v>
      </c>
      <c r="P64">
        <f t="shared" si="29"/>
        <v>19544.019599302403</v>
      </c>
      <c r="Q64">
        <f t="shared" si="29"/>
        <v>18131.836879930379</v>
      </c>
      <c r="R64">
        <f t="shared" si="29"/>
        <v>16821.693560527241</v>
      </c>
      <c r="S64">
        <f t="shared" si="29"/>
        <v>15606.216629794109</v>
      </c>
      <c r="T64">
        <f t="shared" si="29"/>
        <v>14478.565824523825</v>
      </c>
      <c r="U64">
        <f t="shared" si="29"/>
        <v>13432.395135081171</v>
      </c>
      <c r="V64">
        <f t="shared" si="29"/>
        <v>12461.817092362899</v>
      </c>
      <c r="W64">
        <f t="shared" si="29"/>
        <v>11561.369635257506</v>
      </c>
      <c r="X64">
        <f t="shared" si="29"/>
        <v>10725.98537214687</v>
      </c>
      <c r="Y64">
        <f t="shared" si="29"/>
        <v>9950.9630634645964</v>
      </c>
      <c r="AB64" t="s">
        <v>24</v>
      </c>
      <c r="AC64" s="16">
        <f>'Calculator Interface'!$S$14</f>
        <v>294632.01357575756</v>
      </c>
      <c r="AE64" s="16">
        <f t="shared" si="33"/>
        <v>1522.1693713642635</v>
      </c>
      <c r="AF64">
        <f t="shared" si="34"/>
        <v>1412.1827193720237</v>
      </c>
      <c r="AG64">
        <f t="shared" si="30"/>
        <v>1310.1433194031379</v>
      </c>
      <c r="AH64">
        <f t="shared" si="30"/>
        <v>1215.4769307331317</v>
      </c>
      <c r="AI64">
        <f t="shared" si="30"/>
        <v>1127.6508052702848</v>
      </c>
      <c r="AJ64">
        <f t="shared" si="30"/>
        <v>1046.1706894426534</v>
      </c>
      <c r="AK64">
        <f t="shared" si="30"/>
        <v>970.57804271827263</v>
      </c>
      <c r="AL64">
        <f t="shared" si="30"/>
        <v>900.44745710539246</v>
      </c>
      <c r="AM64">
        <f t="shared" si="30"/>
        <v>835.38426311063631</v>
      </c>
      <c r="AN64">
        <f t="shared" si="30"/>
        <v>775.02230868227343</v>
      </c>
      <c r="AP64" t="s">
        <v>24</v>
      </c>
      <c r="AQ64" s="16">
        <f t="shared" si="35"/>
        <v>15.094506574739226</v>
      </c>
      <c r="AR64" s="16">
        <f t="shared" si="36"/>
        <v>29.098336728797015</v>
      </c>
      <c r="AS64" s="16">
        <f t="shared" si="37"/>
        <v>42.090298937875538</v>
      </c>
      <c r="AT64" s="16">
        <f t="shared" si="38"/>
        <v>54.143507251974867</v>
      </c>
      <c r="AU64" s="16">
        <f t="shared" si="39"/>
        <v>65.32579275474167</v>
      </c>
      <c r="AV64" s="16">
        <f t="shared" si="40"/>
        <v>75.700085292199759</v>
      </c>
      <c r="AW64" s="16">
        <f t="shared" si="41"/>
        <v>85.32476761909345</v>
      </c>
      <c r="AX64" s="16">
        <f t="shared" si="42"/>
        <v>94.254003955850564</v>
      </c>
      <c r="AY64" s="16">
        <f t="shared" si="43"/>
        <v>102.53804480516523</v>
      </c>
      <c r="AZ64" s="16">
        <f t="shared" si="44"/>
        <v>110.22350974359658</v>
      </c>
      <c r="BB64" s="16"/>
      <c r="BC64" s="16"/>
      <c r="BD64" s="16"/>
      <c r="BE64" s="16"/>
      <c r="BF64" s="16"/>
      <c r="BG64" s="16"/>
      <c r="BH64" s="16"/>
      <c r="BI64" s="16"/>
      <c r="BJ64" s="16"/>
      <c r="BK64" s="16"/>
    </row>
    <row r="65" spans="28:52" x14ac:dyDescent="0.2">
      <c r="AQ65" s="16"/>
      <c r="AR65" s="25"/>
      <c r="AS65" s="25"/>
      <c r="AT65" s="25"/>
      <c r="AU65" s="25"/>
      <c r="AV65" s="25"/>
      <c r="AW65" s="25"/>
      <c r="AX65" s="25"/>
      <c r="AY65" s="25"/>
      <c r="AZ65" s="25"/>
    </row>
    <row r="66" spans="28:52" x14ac:dyDescent="0.2">
      <c r="AQ66" s="25"/>
      <c r="AR66" s="25"/>
      <c r="AS66" s="25"/>
      <c r="AT66" s="25"/>
      <c r="AU66" s="25"/>
      <c r="AV66" s="25"/>
      <c r="AW66" s="25"/>
      <c r="AX66" s="25"/>
      <c r="AY66" s="25"/>
      <c r="AZ66" s="25"/>
    </row>
    <row r="69" spans="28:52" x14ac:dyDescent="0.2">
      <c r="AE69" t="s">
        <v>232</v>
      </c>
    </row>
    <row r="70" spans="28:52" x14ac:dyDescent="0.2">
      <c r="AE70">
        <v>1</v>
      </c>
      <c r="AF70">
        <v>2</v>
      </c>
      <c r="AG70">
        <v>3</v>
      </c>
      <c r="AH70">
        <v>4</v>
      </c>
      <c r="AI70">
        <v>5</v>
      </c>
      <c r="AJ70">
        <v>6</v>
      </c>
      <c r="AK70">
        <v>7</v>
      </c>
      <c r="AL70">
        <v>8</v>
      </c>
      <c r="AM70">
        <v>9</v>
      </c>
      <c r="AN70">
        <v>10</v>
      </c>
    </row>
    <row r="71" spans="28:52" x14ac:dyDescent="0.2">
      <c r="AB71" t="s">
        <v>14</v>
      </c>
      <c r="AC71" s="16">
        <f>'Calculator Interface'!$S$14</f>
        <v>294632.01357575756</v>
      </c>
      <c r="AE71" s="16">
        <f>AQ36*0.26</f>
        <v>286.04074965420102</v>
      </c>
      <c r="AF71" s="16">
        <f t="shared" ref="AF71:AN71" si="45">AR36*0.26</f>
        <v>265.37244231622037</v>
      </c>
      <c r="AG71" s="16">
        <f t="shared" si="45"/>
        <v>246.19755480997372</v>
      </c>
      <c r="AH71" s="16">
        <f t="shared" si="45"/>
        <v>228.40817782497021</v>
      </c>
      <c r="AI71" s="16">
        <f t="shared" si="45"/>
        <v>211.90419920128983</v>
      </c>
      <c r="AJ71" s="16">
        <f t="shared" si="45"/>
        <v>196.59274053466442</v>
      </c>
      <c r="AK71" s="16">
        <f t="shared" si="45"/>
        <v>182.3876344905147</v>
      </c>
      <c r="AL71" s="16">
        <f t="shared" si="45"/>
        <v>169.20893988544711</v>
      </c>
      <c r="AM71" s="16">
        <f t="shared" si="45"/>
        <v>156.98249180728374</v>
      </c>
      <c r="AN71" s="16">
        <f t="shared" si="45"/>
        <v>145.63948424183315</v>
      </c>
    </row>
    <row r="72" spans="28:52" x14ac:dyDescent="0.2">
      <c r="AB72" t="s">
        <v>16</v>
      </c>
      <c r="AC72" s="16">
        <f>'Calculator Interface'!$S$14</f>
        <v>294632.01357575756</v>
      </c>
      <c r="AE72" s="16">
        <f t="shared" ref="AE72:AE77" si="46">AQ37*0.26</f>
        <v>1048.9160844848122</v>
      </c>
      <c r="AF72" s="16">
        <f t="shared" ref="AF72:AF77" si="47">AR37*0.26</f>
        <v>925.66519562901078</v>
      </c>
      <c r="AG72" s="16">
        <f t="shared" ref="AG72:AG77" si="48">AS37*0.26</f>
        <v>816.89666797296366</v>
      </c>
      <c r="AH72" s="16">
        <f t="shared" ref="AH72:AH77" si="49">AT37*0.26</f>
        <v>720.90877921781839</v>
      </c>
      <c r="AI72" s="16">
        <f t="shared" ref="AI72:AI77" si="50">AU37*0.26</f>
        <v>636.19976470576592</v>
      </c>
      <c r="AJ72" s="16">
        <f t="shared" ref="AJ72:AJ77" si="51">AV37*0.26</f>
        <v>561.44432177788724</v>
      </c>
      <c r="AK72" s="16">
        <f t="shared" ref="AK72:AK77" si="52">AW37*0.26</f>
        <v>495.47287494269426</v>
      </c>
      <c r="AL72" s="16">
        <f t="shared" ref="AL72:AL77" si="53">AX37*0.26</f>
        <v>437.25327745161206</v>
      </c>
      <c r="AM72" s="16">
        <f t="shared" ref="AM72:AM77" si="54">AY37*0.26</f>
        <v>385.8746629960105</v>
      </c>
      <c r="AN72" s="16">
        <f t="shared" ref="AN72:AN77" si="55">AZ37*0.26</f>
        <v>340.53319487985385</v>
      </c>
    </row>
    <row r="73" spans="28:52" x14ac:dyDescent="0.2">
      <c r="AB73" t="s">
        <v>17</v>
      </c>
      <c r="AC73" s="16">
        <f>'Calculator Interface'!$S$14</f>
        <v>294632.01357575756</v>
      </c>
      <c r="AE73" s="16">
        <f t="shared" si="46"/>
        <v>482.40838184163266</v>
      </c>
      <c r="AF73" s="16">
        <f t="shared" si="47"/>
        <v>415.21274214539841</v>
      </c>
      <c r="AG73" s="16">
        <f t="shared" si="48"/>
        <v>357.37691907786552</v>
      </c>
      <c r="AH73" s="16">
        <f t="shared" si="49"/>
        <v>307.5971648405307</v>
      </c>
      <c r="AI73" s="16">
        <f t="shared" si="50"/>
        <v>264.75133330397841</v>
      </c>
      <c r="AJ73" s="16">
        <f t="shared" si="51"/>
        <v>227.87358434390319</v>
      </c>
      <c r="AK73" s="16">
        <f t="shared" si="52"/>
        <v>196.13261166136576</v>
      </c>
      <c r="AL73" s="16">
        <f t="shared" si="53"/>
        <v>168.8129032940156</v>
      </c>
      <c r="AM73" s="16">
        <f t="shared" si="54"/>
        <v>145.29861238863094</v>
      </c>
      <c r="AN73" s="16">
        <f t="shared" si="55"/>
        <v>125.05967464638789</v>
      </c>
    </row>
    <row r="74" spans="28:52" x14ac:dyDescent="0.2">
      <c r="AB74" t="s">
        <v>18</v>
      </c>
      <c r="AC74" s="16">
        <f>'Calculator Interface'!$S$14</f>
        <v>294632.01357575756</v>
      </c>
      <c r="AE74" s="16">
        <f t="shared" si="46"/>
        <v>140.24949517041276</v>
      </c>
      <c r="AF74" s="16">
        <f t="shared" si="47"/>
        <v>120.71385918276184</v>
      </c>
      <c r="AG74" s="16">
        <f t="shared" si="48"/>
        <v>103.89938146365434</v>
      </c>
      <c r="AH74" s="16">
        <f t="shared" si="49"/>
        <v>89.427026371397119</v>
      </c>
      <c r="AI74" s="16">
        <f t="shared" si="50"/>
        <v>76.970554905835499</v>
      </c>
      <c r="AJ74" s="16">
        <f t="shared" si="51"/>
        <v>66.249170557315438</v>
      </c>
      <c r="AK74" s="16">
        <f t="shared" si="52"/>
        <v>57.021189530225513</v>
      </c>
      <c r="AL74" s="16">
        <f t="shared" si="53"/>
        <v>49.078592653910036</v>
      </c>
      <c r="AM74" s="16">
        <f t="shared" si="54"/>
        <v>42.242336168936603</v>
      </c>
      <c r="AN74" s="16">
        <f t="shared" si="55"/>
        <v>36.358315683432529</v>
      </c>
    </row>
    <row r="75" spans="28:52" x14ac:dyDescent="0.2">
      <c r="AB75" t="s">
        <v>20</v>
      </c>
      <c r="AC75" s="16">
        <f>'Calculator Interface'!$S$14</f>
        <v>294632.01357575756</v>
      </c>
      <c r="AE75" s="16">
        <f t="shared" si="46"/>
        <v>164.94105507694456</v>
      </c>
      <c r="AF75" s="16">
        <f t="shared" si="47"/>
        <v>135.04231423662355</v>
      </c>
      <c r="AG75" s="16">
        <f t="shared" si="48"/>
        <v>110.56329563234449</v>
      </c>
      <c r="AH75" s="16">
        <f t="shared" si="49"/>
        <v>90.521570295852754</v>
      </c>
      <c r="AI75" s="16">
        <f t="shared" si="50"/>
        <v>74.112793418125079</v>
      </c>
      <c r="AJ75" s="16">
        <f t="shared" si="51"/>
        <v>60.678423167934525</v>
      </c>
      <c r="AK75" s="16">
        <f t="shared" si="52"/>
        <v>49.679291095867384</v>
      </c>
      <c r="AL75" s="16">
        <f t="shared" si="53"/>
        <v>40.673963411299802</v>
      </c>
      <c r="AM75" s="16">
        <f t="shared" si="54"/>
        <v>33.301024694399771</v>
      </c>
      <c r="AN75" s="16">
        <f t="shared" si="55"/>
        <v>27.264573026314391</v>
      </c>
    </row>
    <row r="76" spans="28:52" x14ac:dyDescent="0.2">
      <c r="AB76" t="s">
        <v>22</v>
      </c>
      <c r="AC76" s="16">
        <f>'Calculator Interface'!$S$14</f>
        <v>294632.01357575756</v>
      </c>
      <c r="AE76" s="16">
        <f t="shared" si="46"/>
        <v>105.2725192130746</v>
      </c>
      <c r="AF76" s="16">
        <f t="shared" si="47"/>
        <v>90.608896985053491</v>
      </c>
      <c r="AG76" s="16">
        <f t="shared" si="48"/>
        <v>77.987800370111984</v>
      </c>
      <c r="AH76" s="16">
        <f t="shared" si="49"/>
        <v>67.124721842400334</v>
      </c>
      <c r="AI76" s="16">
        <f t="shared" si="50"/>
        <v>57.77478350506734</v>
      </c>
      <c r="AJ76" s="16">
        <f t="shared" si="51"/>
        <v>49.727216999042298</v>
      </c>
      <c r="AK76" s="16">
        <f t="shared" si="52"/>
        <v>42.80061231649546</v>
      </c>
      <c r="AL76" s="16">
        <f t="shared" si="53"/>
        <v>36.838828416684166</v>
      </c>
      <c r="AM76" s="16">
        <f t="shared" si="54"/>
        <v>31.707473460394098</v>
      </c>
      <c r="AN76" s="16">
        <f t="shared" si="55"/>
        <v>27.290875319647146</v>
      </c>
    </row>
    <row r="77" spans="28:52" x14ac:dyDescent="0.2">
      <c r="AB77" t="s">
        <v>24</v>
      </c>
      <c r="AC77" s="16">
        <f>'Calculator Interface'!$S$14</f>
        <v>294632.01357575756</v>
      </c>
      <c r="AE77" s="16">
        <f t="shared" si="46"/>
        <v>15.094506574739226</v>
      </c>
      <c r="AF77" s="16">
        <f t="shared" si="47"/>
        <v>14.003830154057788</v>
      </c>
      <c r="AG77" s="16">
        <f t="shared" si="48"/>
        <v>12.991962209078524</v>
      </c>
      <c r="AH77" s="16">
        <f t="shared" si="49"/>
        <v>12.053208314099326</v>
      </c>
      <c r="AI77" s="16">
        <f t="shared" si="50"/>
        <v>11.182285502766803</v>
      </c>
      <c r="AJ77" s="16">
        <f t="shared" si="51"/>
        <v>10.374292537458091</v>
      </c>
      <c r="AK77" s="16">
        <f t="shared" si="52"/>
        <v>9.6246823268936836</v>
      </c>
      <c r="AL77" s="16">
        <f t="shared" si="53"/>
        <v>8.9292363367571141</v>
      </c>
      <c r="AM77" s="16">
        <f t="shared" si="54"/>
        <v>8.2840408493146676</v>
      </c>
      <c r="AN77" s="16">
        <f t="shared" si="55"/>
        <v>7.6854649384313483</v>
      </c>
    </row>
  </sheetData>
  <mergeCells count="1">
    <mergeCell ref="N56:Y56"/>
  </mergeCells>
  <dataValidations disablePrompts="1" count="1">
    <dataValidation type="list" allowBlank="1" showInputMessage="1" showErrorMessage="1" sqref="K37" xr:uid="{30586450-4D94-40AC-A9C0-EE6C44C815FB}">
      <formula1>"1,2,3,4,5,6,7,8,9,10"</formula1>
    </dataValidation>
  </dataValidation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fbad9603-5193-41c1-b19f-e66c14ed9e77">
      <Terms xmlns="http://schemas.microsoft.com/office/infopath/2007/PartnerControls"/>
    </lcf76f155ced4ddcb4097134ff3c332f>
    <TaxCatchAll xmlns="e54f5743-4e46-43f7-9f66-09699b81244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75B61F366C8734BB938C395E0EFAEE1" ma:contentTypeVersion="13" ma:contentTypeDescription="Create a new document." ma:contentTypeScope="" ma:versionID="bd474c16169f368c9f63926e8775e1e9">
  <xsd:schema xmlns:xsd="http://www.w3.org/2001/XMLSchema" xmlns:xs="http://www.w3.org/2001/XMLSchema" xmlns:p="http://schemas.microsoft.com/office/2006/metadata/properties" xmlns:ns2="fbad9603-5193-41c1-b19f-e66c14ed9e77" xmlns:ns3="e54f5743-4e46-43f7-9f66-09699b81244c" targetNamespace="http://schemas.microsoft.com/office/2006/metadata/properties" ma:root="true" ma:fieldsID="7b0d52ce95543727ad6e5a993801b780" ns2:_="" ns3:_="">
    <xsd:import namespace="fbad9603-5193-41c1-b19f-e66c14ed9e77"/>
    <xsd:import namespace="e54f5743-4e46-43f7-9f66-09699b81244c"/>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ad9603-5193-41c1-b19f-e66c14ed9e7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d8e5c01b-e2d5-426b-b945-b66997fcc5fb"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54f5743-4e46-43f7-9f66-09699b81244c"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52f54374-1440-4d33-94c7-6b054516de49}" ma:internalName="TaxCatchAll" ma:showField="CatchAllData" ma:web="e54f5743-4e46-43f7-9f66-09699b81244c">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EDD3266-735E-4DFA-875B-F4DEFA2B3CBD}">
  <ds:schemaRefs>
    <ds:schemaRef ds:uri="http://schemas.microsoft.com/sharepoint/v3/contenttype/forms"/>
  </ds:schemaRefs>
</ds:datastoreItem>
</file>

<file path=customXml/itemProps2.xml><?xml version="1.0" encoding="utf-8"?>
<ds:datastoreItem xmlns:ds="http://schemas.openxmlformats.org/officeDocument/2006/customXml" ds:itemID="{849D4B98-D791-4ADF-8046-18958C127535}">
  <ds:schemaRefs>
    <ds:schemaRef ds:uri="http://schemas.microsoft.com/office/2006/metadata/properties"/>
    <ds:schemaRef ds:uri="http://schemas.microsoft.com/office/infopath/2007/PartnerControls"/>
    <ds:schemaRef ds:uri="http://purl.org/dc/terms/"/>
    <ds:schemaRef ds:uri="http://purl.org/dc/elements/1.1/"/>
    <ds:schemaRef ds:uri="e54f5743-4e46-43f7-9f66-09699b81244c"/>
    <ds:schemaRef ds:uri="http://www.w3.org/XML/1998/namespace"/>
    <ds:schemaRef ds:uri="http://schemas.microsoft.com/office/2006/documentManagement/types"/>
    <ds:schemaRef ds:uri="http://schemas.openxmlformats.org/package/2006/metadata/core-properties"/>
    <ds:schemaRef ds:uri="fbad9603-5193-41c1-b19f-e66c14ed9e77"/>
    <ds:schemaRef ds:uri="http://purl.org/dc/dcmitype/"/>
  </ds:schemaRefs>
</ds:datastoreItem>
</file>

<file path=customXml/itemProps3.xml><?xml version="1.0" encoding="utf-8"?>
<ds:datastoreItem xmlns:ds="http://schemas.openxmlformats.org/officeDocument/2006/customXml" ds:itemID="{62680604-4854-4C12-946D-E68837AACE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bad9603-5193-41c1-b19f-e66c14ed9e77"/>
    <ds:schemaRef ds:uri="e54f5743-4e46-43f7-9f66-09699b81244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Info</vt:lpstr>
      <vt:lpstr>Calculator Interface</vt:lpstr>
      <vt:lpstr>Transport</vt:lpstr>
      <vt:lpstr>Tree Species</vt:lpstr>
      <vt:lpstr>Comparison</vt:lpstr>
      <vt:lpstr>Manufacture_Locations</vt:lpstr>
      <vt:lpstr>City_Locations</vt:lpstr>
      <vt:lpstr>Dataset</vt:lpstr>
      <vt:lpstr>Pile Slash Decomposition</vt:lpstr>
    </vt:vector>
  </TitlesOfParts>
  <Manager/>
  <Company>Corgan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Mahdi Afkhami</dc:creator>
  <cp:keywords/>
  <dc:description/>
  <cp:lastModifiedBy>Mahdi Afkhami</cp:lastModifiedBy>
  <cp:revision/>
  <dcterms:created xsi:type="dcterms:W3CDTF">2024-05-23T19:51:00Z</dcterms:created>
  <dcterms:modified xsi:type="dcterms:W3CDTF">2024-07-17T21:26:30Z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0x010100975B61F366C8734BB938C395E0EFAEE1</vt:lpwstr>
  </property>
  <property fmtid="{D5CDD505-2E9C-101B-9397-08002B2CF9AE}" pid="3" name="MediaServiceImageTags">
    <vt:lpwstr/>
  </property>
</Properties>
</file>