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_303461\LP\Helmet SG\HB30\"/>
    </mc:Choice>
  </mc:AlternateContent>
  <xr:revisionPtr revIDLastSave="0" documentId="13_ncr:1_{A64CDA32-E80E-4225-A222-F2F3B6AF723B}" xr6:coauthVersionLast="45" xr6:coauthVersionMax="45" xr10:uidLastSave="{00000000-0000-0000-0000-000000000000}"/>
  <bookViews>
    <workbookView xWindow="-110" yWindow="-110" windowWidth="19420" windowHeight="10560" activeTab="2" xr2:uid="{00000000-000D-0000-FFFF-FFFF00000000}"/>
  </bookViews>
  <sheets>
    <sheet name="Log" sheetId="1" r:id="rId1"/>
    <sheet name="CRM opportunity" sheetId="3" r:id="rId2"/>
    <sheet name="HB30 waste" sheetId="4" r:id="rId3"/>
    <sheet name="aramid waste" sheetId="5" r:id="rId4"/>
    <sheet name="VP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2" i="1" l="1"/>
  <c r="W41" i="1"/>
  <c r="W40" i="1"/>
  <c r="W39" i="1"/>
  <c r="F19" i="3" l="1"/>
  <c r="F16" i="3"/>
  <c r="F6" i="3"/>
  <c r="F9" i="3"/>
  <c r="F18" i="3"/>
  <c r="F15" i="3"/>
  <c r="F20" i="3"/>
  <c r="F17" i="3"/>
  <c r="F14" i="3"/>
  <c r="F11" i="3"/>
  <c r="F5" i="3"/>
  <c r="F12" i="3"/>
  <c r="F3" i="3"/>
  <c r="F21" i="3"/>
  <c r="F22" i="3"/>
  <c r="F4" i="3"/>
  <c r="F10" i="3"/>
  <c r="F7" i="3"/>
  <c r="F2" i="3"/>
  <c r="F13" i="3"/>
  <c r="F8" i="3"/>
  <c r="AE4" i="1" l="1"/>
  <c r="AE5" i="1"/>
  <c r="AE6" i="1"/>
  <c r="AE7" i="1"/>
  <c r="AE8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3" i="1"/>
  <c r="AE25" i="1"/>
  <c r="AE26" i="1"/>
  <c r="AE27" i="1"/>
  <c r="AE28" i="1"/>
  <c r="AE29" i="1"/>
  <c r="AE30" i="1"/>
  <c r="AE31" i="1"/>
  <c r="AE32" i="1"/>
  <c r="AE33" i="1"/>
  <c r="AE34" i="1"/>
  <c r="AE36" i="1"/>
  <c r="AE35" i="1"/>
  <c r="W24" i="1" l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23" i="1"/>
  <c r="W19" i="1" l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</calcChain>
</file>

<file path=xl/sharedStrings.xml><?xml version="1.0" encoding="utf-8"?>
<sst xmlns="http://schemas.openxmlformats.org/spreadsheetml/2006/main" count="349" uniqueCount="112">
  <si>
    <t>Log Number</t>
  </si>
  <si>
    <t>Date</t>
  </si>
  <si>
    <t>BlankHolder</t>
  </si>
  <si>
    <t>Square ply</t>
  </si>
  <si>
    <t>D=360mm</t>
  </si>
  <si>
    <t>D=310mm</t>
  </si>
  <si>
    <t>D=280mm</t>
  </si>
  <si>
    <t>D=260mm</t>
  </si>
  <si>
    <t>D=200mm</t>
  </si>
  <si>
    <t>D=160mm</t>
  </si>
  <si>
    <t>Total nr of plies at crown</t>
  </si>
  <si>
    <t>Pressure (bars)</t>
  </si>
  <si>
    <t>Dwell time (mins)</t>
  </si>
  <si>
    <t>Tempaturature (oC)</t>
  </si>
  <si>
    <t>Demolding Temp'</t>
  </si>
  <si>
    <t>pre-conditioning</t>
  </si>
  <si>
    <t>1.1g fsp V50 (m/s)</t>
  </si>
  <si>
    <t>Yes</t>
  </si>
  <si>
    <t>mean error</t>
  </si>
  <si>
    <t>D=210mm</t>
  </si>
  <si>
    <t>Material</t>
  </si>
  <si>
    <t>HB30_NOV</t>
  </si>
  <si>
    <t>X490_Jan2020</t>
  </si>
  <si>
    <t>X490_Jan2021</t>
  </si>
  <si>
    <t>NO</t>
  </si>
  <si>
    <t>No</t>
  </si>
  <si>
    <t>Cross_W120L360</t>
  </si>
  <si>
    <t>Cross_W160L530</t>
  </si>
  <si>
    <t>Cross_W120L300</t>
  </si>
  <si>
    <t>Cross_W120L240</t>
  </si>
  <si>
    <t>D=300mm</t>
  </si>
  <si>
    <t>D=240mm</t>
  </si>
  <si>
    <t>Circle280mmCross_W160L530</t>
  </si>
  <si>
    <t>Circle360mmCross_W160L530</t>
  </si>
  <si>
    <t>Presspad</t>
  </si>
  <si>
    <t>Purpose</t>
  </si>
  <si>
    <t>Pressing Trial</t>
  </si>
  <si>
    <t>Recipe_Sq_Circle</t>
  </si>
  <si>
    <t>Recipe_Sq_others</t>
  </si>
  <si>
    <t>9mm test</t>
  </si>
  <si>
    <t xml:space="preserve">E2E test and .44 Magnum </t>
  </si>
  <si>
    <t>Blankholder</t>
  </si>
  <si>
    <t>X490</t>
  </si>
  <si>
    <t>Preheating T=130</t>
  </si>
  <si>
    <t>Preheating T=75</t>
  </si>
  <si>
    <t>Pressure=165</t>
  </si>
  <si>
    <t>wastage</t>
  </si>
  <si>
    <t>Customer​</t>
  </si>
  <si>
    <t>Material​</t>
  </si>
  <si>
    <t>Thickness​</t>
  </si>
  <si>
    <t>Waste​</t>
  </si>
  <si>
    <t>Ops-Core​</t>
  </si>
  <si>
    <t>Aramids​</t>
  </si>
  <si>
    <t>​</t>
  </si>
  <si>
    <t>NPA​</t>
  </si>
  <si>
    <t>MSA​</t>
  </si>
  <si>
    <t>Hexonia​</t>
  </si>
  <si>
    <t>Mars Armour​</t>
  </si>
  <si>
    <t>Garanti​</t>
  </si>
  <si>
    <t>CH Paisarn (Thailand)​</t>
  </si>
  <si>
    <t>Galvion​</t>
  </si>
  <si>
    <t>1.1g FSP</t>
  </si>
  <si>
    <t>TC S'pore</t>
  </si>
  <si>
    <t>HB30 _Nov</t>
  </si>
  <si>
    <t>HB30​_Nov</t>
  </si>
  <si>
    <t>HB30​_earlier batch</t>
  </si>
  <si>
    <t>HB30_?</t>
  </si>
  <si>
    <t>HB30 _?</t>
  </si>
  <si>
    <t>HB30​_?</t>
  </si>
  <si>
    <t>BOM</t>
  </si>
  <si>
    <t>ply shape</t>
  </si>
  <si>
    <t>square + circle</t>
  </si>
  <si>
    <t>square</t>
  </si>
  <si>
    <t>square + others</t>
  </si>
  <si>
    <t>Korean Next Gen MIL helmet (2022 tender)​</t>
  </si>
  <si>
    <t>Singapore MIL​</t>
  </si>
  <si>
    <t>Malaysia MIL ​</t>
  </si>
  <si>
    <t>Samyang (S. Korea)​</t>
  </si>
  <si>
    <t>Thailand MIL ​</t>
  </si>
  <si>
    <t>E17 Institute​</t>
  </si>
  <si>
    <t>Vietnam Police​</t>
  </si>
  <si>
    <t>Innovative Technology Material​</t>
  </si>
  <si>
    <t>Vietnam MIL​</t>
  </si>
  <si>
    <t>PT. Weba International​</t>
  </si>
  <si>
    <t>Indonesian Police​</t>
  </si>
  <si>
    <t xml:space="preserve">ERE </t>
  </si>
  <si>
    <t>Programme</t>
  </si>
  <si>
    <t>Revenue (in EUR)</t>
  </si>
  <si>
    <t>Tactics SOG Industries, Inc.​</t>
  </si>
  <si>
    <t>Philippine MIL​</t>
  </si>
  <si>
    <t>iTextiles​</t>
  </si>
  <si>
    <t>Pakistan MIL​</t>
  </si>
  <si>
    <t>Middle East Helmets​</t>
  </si>
  <si>
    <t>Germany MoD Helmets​</t>
  </si>
  <si>
    <t>Source​</t>
  </si>
  <si>
    <t>IDF Helmet​</t>
  </si>
  <si>
    <t>French MoD Helmet ​</t>
  </si>
  <si>
    <t>Ceradyne​</t>
  </si>
  <si>
    <t>Commercial Helmets​</t>
  </si>
  <si>
    <t>Gentex​</t>
  </si>
  <si>
    <t>ACH Legacy​</t>
  </si>
  <si>
    <t>Ceradyne/Avon​</t>
  </si>
  <si>
    <t>ACH Gen II​</t>
  </si>
  <si>
    <t>Volumn (lm)</t>
  </si>
  <si>
    <t>PoS (May5)</t>
  </si>
  <si>
    <t>Philippine AFP helmet</t>
  </si>
  <si>
    <t>UK MoD Helmets​</t>
  </si>
  <si>
    <t>Parabor</t>
  </si>
  <si>
    <t>Mexico helmet</t>
  </si>
  <si>
    <t>projected Rev (in EUR)</t>
  </si>
  <si>
    <t>ref</t>
  </si>
  <si>
    <t>weight of semi-finishing helmet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</si>
</sst>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EUR]\ 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9" fontId="0" fillId="0" borderId="0" xfId="1" applyFont="1" applyAlignment="1">
      <alignment horizontal="left"/>
    </xf>
    <xf numFmtId="165" fontId="0" fillId="0" borderId="0" xfId="1" applyNumberFormat="1" applyFont="1" applyAlignment="1">
      <alignment horizontal="left"/>
    </xf>
    <xf numFmtId="10" fontId="0" fillId="0" borderId="0" xfId="1" applyNumberFormat="1" applyFont="1" applyAlignment="1">
      <alignment horizontal="left"/>
    </xf>
    <xf numFmtId="9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68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EUR]\ 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EUR]\ 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EUR]\ 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65" formatCode="[$EUR]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numFmt numFmtId="164" formatCode="[$-F800]dddd\,\ mmmm\ dd\,\ 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D1760-C4B3-4409-BD8D-B220DE8E11EE}" name="Table1" displayName="Table1" ref="A1:AF42" totalsRowShown="0" headerRowDxfId="67" dataDxfId="66">
  <autoFilter ref="A1:AF42" xr:uid="{E1E6AFA8-168A-426C-BF1D-97685DF45D8B}"/>
  <tableColumns count="32">
    <tableColumn id="1" xr3:uid="{96C4462E-766D-4839-9F44-C7DB8F445C38}" name="Log Number" dataDxfId="65"/>
    <tableColumn id="2" xr3:uid="{6FFFDB83-D78C-467E-9EC9-F7C216099FC3}" name="Date" dataDxfId="64"/>
    <tableColumn id="14" xr3:uid="{609BAB7A-3DBD-4633-8523-8D05C5C61F01}" name="Purpose" dataDxfId="63"/>
    <tableColumn id="23" xr3:uid="{DAE0A36A-752E-4A38-A481-D694B1B5F1F4}" name="Material" dataDxfId="62"/>
    <tableColumn id="3" xr3:uid="{3F368AEB-460E-4088-9ED4-B8274A82C48C}" name="BlankHolder" dataDxfId="61"/>
    <tableColumn id="34" xr3:uid="{06D00734-C001-404A-8917-D5B56B3B48CC}" name="Presspad" dataDxfId="60"/>
    <tableColumn id="4" xr3:uid="{2C9D889D-4F06-4301-88E5-3EC4118685FA}" name="Square ply" dataDxfId="59"/>
    <tableColumn id="5" xr3:uid="{6A895F58-A901-43AE-9AE4-5C170712AA40}" name="D=360mm" dataDxfId="58"/>
    <tableColumn id="6" xr3:uid="{A04E4219-C3F5-4093-93D1-1E1C90206AA3}" name="D=310mm" dataDxfId="57"/>
    <tableColumn id="29" xr3:uid="{9CA90151-71AB-4634-AE30-F9E0601C564D}" name="D=300mm" dataDxfId="56"/>
    <tableColumn id="7" xr3:uid="{0AE57D66-F2E7-4B09-A521-63D6189CE848}" name="D=280mm" dataDxfId="55"/>
    <tableColumn id="8" xr3:uid="{DF6DF0CD-E13F-4569-AE3D-0E420B987927}" name="D=260mm" dataDxfId="54"/>
    <tableColumn id="30" xr3:uid="{4DC26015-C473-4F09-A08C-3C238D89B622}" name="D=240mm" dataDxfId="53"/>
    <tableColumn id="9" xr3:uid="{2FB8C9FB-83A4-4CE4-A13A-42CC19AD2BD0}" name="D=210mm" dataDxfId="52"/>
    <tableColumn id="10" xr3:uid="{7EB33483-69F9-40A0-B25C-7020A9B7A8E7}" name="D=200mm" dataDxfId="51"/>
    <tableColumn id="11" xr3:uid="{AE8F953A-4FD7-4E16-A63A-A4DAB653BBCB}" name="D=160mm" dataDxfId="50"/>
    <tableColumn id="12" xr3:uid="{5927DC7B-F704-430B-ACCA-7D3DF48315E5}" name="Circle360mmCross_W160L530" dataDxfId="49"/>
    <tableColumn id="33" xr3:uid="{E5C709BB-5E4F-4724-9BD5-6D3247C8A902}" name="Circle280mmCross_W160L530" dataDxfId="48"/>
    <tableColumn id="13" xr3:uid="{4DD215F6-0184-4ED8-A9F0-C7B7C438C40E}" name="Cross_W160L530" dataDxfId="47"/>
    <tableColumn id="26" xr3:uid="{92ABE244-A603-4418-B0C9-D1B8F8E8C4FB}" name="Cross_W120L360" dataDxfId="46"/>
    <tableColumn id="25" xr3:uid="{57B5DB5D-C71A-444A-B4F6-876574BEBBD8}" name="Cross_W120L300" dataDxfId="45"/>
    <tableColumn id="24" xr3:uid="{65D99A3D-BEE4-4EFF-8C4B-0560B27D5523}" name="Cross_W120L240" dataDxfId="44"/>
    <tableColumn id="15" xr3:uid="{165C6FB5-6B44-4071-BA27-CB2C275D4150}" name="Total nr of plies at crown" dataDxfId="43"/>
    <tableColumn id="16" xr3:uid="{D15F0673-227F-424C-B097-A2581ECC5C31}" name="Pressure (bars)" dataDxfId="42"/>
    <tableColumn id="17" xr3:uid="{D35CF88D-4465-4174-A4DF-4A8DDEBE2E44}" name="Dwell time (mins)" dataDxfId="41"/>
    <tableColumn id="18" xr3:uid="{478A75C8-8F77-41E1-9E17-94D3A20C0D09}" name="Tempaturature (oC)" dataDxfId="40"/>
    <tableColumn id="19" xr3:uid="{8D949E86-FB02-4771-9931-21292D63D026}" name="Demolding Temp'" dataDxfId="39"/>
    <tableColumn id="20" xr3:uid="{82529ED6-DA3C-413B-8E27-F07F7896335F}" name="pre-conditioning" dataDxfId="38"/>
    <tableColumn id="21" xr3:uid="{8E3EA240-DE8C-4917-BA24-6A8B2EF44D95}" name="1.1g fsp V50 (m/s)" dataDxfId="37"/>
    <tableColumn id="22" xr3:uid="{E5BB81DA-02F3-4FCE-9000-C2CC9CF9DF9D}" name="mean error" dataDxfId="36"/>
    <tableColumn id="27" xr3:uid="{2FE41CD6-493F-4A07-AEFE-F4A6B53222BB}" name="wastage" dataDxfId="35"/>
    <tableColumn id="28" xr3:uid="{CAD22FE7-250A-4740-9717-9935CE9BBBB7}" name="ply shape" dataDxfId="34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2E42BA-7879-4E28-96BF-B0FA5E8B70BD}" name="Table4" displayName="Table4" ref="A1:F23" totalsRowShown="0" headerRowDxfId="33">
  <autoFilter ref="A1:F23" xr:uid="{DD8777B7-0784-44E9-83C4-95FBB8C9C88C}"/>
  <sortState xmlns:xlrd2="http://schemas.microsoft.com/office/spreadsheetml/2017/richdata2" ref="A2:F23">
    <sortCondition descending="1" ref="F1:F23"/>
  </sortState>
  <tableColumns count="6">
    <tableColumn id="1" xr3:uid="{DB2B6FFF-65A2-487E-952C-D191F80AB23E}" name="Customer​" dataDxfId="32"/>
    <tableColumn id="2" xr3:uid="{72503D19-5B6B-4F03-9108-4BD215FBE0C6}" name="Programme" dataDxfId="31"/>
    <tableColumn id="3" xr3:uid="{79861F46-55E8-495B-9FC0-35C7AF2C599E}" name="Revenue (in EUR)" dataDxfId="30"/>
    <tableColumn id="4" xr3:uid="{5D59EC2F-5456-4B05-89BC-B4D85CBB6FEF}" name="Volumn (lm)" dataDxfId="29"/>
    <tableColumn id="5" xr3:uid="{F6FD9D05-33FF-442D-BAFD-F90BBCAF42A5}" name="PoS (May5)" dataDxfId="28"/>
    <tableColumn id="6" xr3:uid="{7B4E3322-2292-4039-8191-35C1FB1FEAD3}" name="projected Rev (in EUR)" dataDxfId="27">
      <calculatedColumnFormula>Table4[[#This Row],[PoS (May5)]]*Table4[[#This Row],[Revenue (in EUR)]]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499AC1-4422-4DC9-A611-99607D2B6E19}" name="Table24" displayName="Table24" ref="A1:G5" totalsRowShown="0" headerRowDxfId="17" dataDxfId="16">
  <autoFilter ref="A1:G5" xr:uid="{697994EB-9F58-43FC-A6AE-99F0E11C7A94}"/>
  <sortState xmlns:xlrd2="http://schemas.microsoft.com/office/spreadsheetml/2017/richdata2" ref="A2:G5">
    <sortCondition ref="E1:E5"/>
  </sortState>
  <tableColumns count="7">
    <tableColumn id="1" xr3:uid="{D60DB71D-BB87-4B6D-AC3E-FE86893EB137}" name="Customer​" dataDxfId="15"/>
    <tableColumn id="2" xr3:uid="{B969BF59-6173-4A43-9159-F99025C332A3}" name="Material​" dataDxfId="14"/>
    <tableColumn id="3" xr3:uid="{7FEC6E44-3FE8-493C-93E4-80B2B91FB297}" name="Thickness​" dataDxfId="13"/>
    <tableColumn id="4" xr3:uid="{029E1495-14AD-4F70-8895-89C64EEFCC1C}" name="1.1g FSP" dataDxfId="12"/>
    <tableColumn id="5" xr3:uid="{84B9C80E-1E2B-4AC6-95A6-991B8A7079FE}" name="Waste​" dataDxfId="11" dataCellStyle="Percent"/>
    <tableColumn id="6" xr3:uid="{341CCB47-2F95-4247-80D9-D111C857FDFA}" name="BOM" dataDxfId="10" dataCellStyle="Percent"/>
    <tableColumn id="7" xr3:uid="{AB4FCA2C-565C-4A09-ADF4-80FC4CB85DFA}" name="weight of semi-finishing helmet shell" dataDxfId="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D397F-14BA-4AF0-A74D-B89DAED965DA}" name="Table26" displayName="Table26" ref="A1:G5" totalsRowShown="0" headerRowDxfId="8" dataDxfId="7">
  <autoFilter ref="A1:G5" xr:uid="{697994EB-9F58-43FC-A6AE-99F0E11C7A94}"/>
  <sortState xmlns:xlrd2="http://schemas.microsoft.com/office/spreadsheetml/2017/richdata2" ref="A2:G5">
    <sortCondition ref="E1:E5"/>
  </sortState>
  <tableColumns count="7">
    <tableColumn id="1" xr3:uid="{8FF4DF9C-28FE-4741-8F13-7B938CD9FF5A}" name="Customer​" dataDxfId="6"/>
    <tableColumn id="2" xr3:uid="{2BE5FB31-A195-4F53-8D1C-E0B86F6A1E81}" name="Material​" dataDxfId="5"/>
    <tableColumn id="3" xr3:uid="{C47EB858-B0FC-4109-BCCD-D8D78FD4A35B}" name="Thickness​" dataDxfId="4"/>
    <tableColumn id="4" xr3:uid="{64A8708E-0F2C-4E36-8995-F17DFBE8C07F}" name="1.1g FSP" dataDxfId="3"/>
    <tableColumn id="5" xr3:uid="{E9878217-A057-40C3-B756-D8D4F14ABE15}" name="Waste​" dataDxfId="2" dataCellStyle="Percent"/>
    <tableColumn id="6" xr3:uid="{A2F58C7B-D791-4C1C-BBAA-53307789F0F5}" name="BOM" dataDxfId="1" dataCellStyle="Percent"/>
    <tableColumn id="7" xr3:uid="{DDEA3AD9-ABB1-4394-A1F8-693D34800B6C}" name="weight of semi-finishing helmet shell" dataDxfId="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30E78F-EF96-4C3D-A34D-0FA339C31D9D}" name="Table2" displayName="Table2" ref="A1:G12" totalsRowShown="0" headerRowDxfId="26" dataDxfId="25">
  <autoFilter ref="A1:G12" xr:uid="{697994EB-9F58-43FC-A6AE-99F0E11C7A94}"/>
  <sortState xmlns:xlrd2="http://schemas.microsoft.com/office/spreadsheetml/2017/richdata2" ref="A2:G12">
    <sortCondition ref="E1:E12"/>
  </sortState>
  <tableColumns count="7">
    <tableColumn id="1" xr3:uid="{CD5A31C0-C4B9-4ABA-9F00-0C3145F6BA1C}" name="Customer​" dataDxfId="24"/>
    <tableColumn id="2" xr3:uid="{5212ED57-1A39-4113-97C4-D335EFF1CFCB}" name="Material​" dataDxfId="23"/>
    <tableColumn id="3" xr3:uid="{2C1CEA0D-A51B-46C4-BB13-1332753503DA}" name="Thickness​" dataDxfId="22"/>
    <tableColumn id="4" xr3:uid="{5488F009-E9BC-4B77-A9C7-D4692FDE3819}" name="1.1g FSP" dataDxfId="21"/>
    <tableColumn id="5" xr3:uid="{55A46585-5D88-41E3-895B-4D1C89961CE4}" name="Waste​" dataDxfId="20" dataCellStyle="Percent"/>
    <tableColumn id="6" xr3:uid="{7CA0188C-A7FF-465B-B85A-5FE9DC84B5C1}" name="BOM" dataDxfId="19" dataCellStyle="Percent"/>
    <tableColumn id="7" xr3:uid="{AE6D0DA7-D400-4748-93D0-541E4FE394D6}" name="weight of semi-finishing helmet shell" data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"/>
  <sheetViews>
    <sheetView zoomScale="80" zoomScaleNormal="80" workbookViewId="0">
      <pane xSplit="2" topLeftCell="I1" activePane="topRight" state="frozen"/>
      <selection pane="topRight" activeCell="A30" sqref="A30:XFD30"/>
    </sheetView>
  </sheetViews>
  <sheetFormatPr defaultRowHeight="14.5" x14ac:dyDescent="0.35"/>
  <cols>
    <col min="1" max="2" width="8.7265625" style="1" customWidth="1"/>
    <col min="3" max="3" width="25.08984375" style="1" bestFit="1" customWidth="1"/>
    <col min="4" max="28" width="8.7265625" style="1" customWidth="1"/>
    <col min="29" max="31" width="8.7265625" style="1"/>
    <col min="32" max="32" width="8.7265625" style="1" customWidth="1"/>
    <col min="33" max="16384" width="8.7265625" style="1"/>
  </cols>
  <sheetData>
    <row r="1" spans="1:32" x14ac:dyDescent="0.35">
      <c r="A1" s="1" t="s">
        <v>0</v>
      </c>
      <c r="B1" s="1" t="s">
        <v>1</v>
      </c>
      <c r="C1" s="1" t="s">
        <v>35</v>
      </c>
      <c r="D1" s="1" t="s">
        <v>20</v>
      </c>
      <c r="E1" s="1" t="s">
        <v>2</v>
      </c>
      <c r="F1" s="1" t="s">
        <v>34</v>
      </c>
      <c r="G1" s="1" t="s">
        <v>3</v>
      </c>
      <c r="H1" s="1" t="s">
        <v>4</v>
      </c>
      <c r="I1" s="1" t="s">
        <v>5</v>
      </c>
      <c r="J1" s="1" t="s">
        <v>30</v>
      </c>
      <c r="K1" s="1" t="s">
        <v>6</v>
      </c>
      <c r="L1" s="1" t="s">
        <v>7</v>
      </c>
      <c r="M1" s="1" t="s">
        <v>31</v>
      </c>
      <c r="N1" s="1" t="s">
        <v>19</v>
      </c>
      <c r="O1" s="1" t="s">
        <v>8</v>
      </c>
      <c r="P1" s="1" t="s">
        <v>9</v>
      </c>
      <c r="Q1" s="1" t="s">
        <v>33</v>
      </c>
      <c r="R1" s="1" t="s">
        <v>32</v>
      </c>
      <c r="S1" s="1" t="s">
        <v>27</v>
      </c>
      <c r="T1" s="1" t="s">
        <v>26</v>
      </c>
      <c r="U1" s="1" t="s">
        <v>28</v>
      </c>
      <c r="V1" s="1" t="s">
        <v>29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18</v>
      </c>
      <c r="AE1" s="4" t="s">
        <v>46</v>
      </c>
      <c r="AF1" s="1" t="s">
        <v>70</v>
      </c>
    </row>
    <row r="2" spans="1:32" x14ac:dyDescent="0.35">
      <c r="A2" s="1">
        <v>1</v>
      </c>
      <c r="B2" s="3">
        <v>44209</v>
      </c>
      <c r="C2" s="3" t="s">
        <v>36</v>
      </c>
      <c r="D2" s="2" t="s">
        <v>21</v>
      </c>
      <c r="E2" s="1" t="s">
        <v>25</v>
      </c>
      <c r="F2" s="1" t="s">
        <v>25</v>
      </c>
      <c r="G2" s="1">
        <v>24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24</v>
      </c>
      <c r="X2" s="1">
        <v>200</v>
      </c>
      <c r="Y2" s="1">
        <v>30</v>
      </c>
      <c r="Z2" s="1">
        <v>135</v>
      </c>
      <c r="AA2" s="1">
        <v>40</v>
      </c>
      <c r="AB2" s="1">
        <v>100</v>
      </c>
      <c r="AC2" s="1">
        <v>0</v>
      </c>
      <c r="AD2" s="1">
        <v>0</v>
      </c>
      <c r="AE2" s="4">
        <v>0</v>
      </c>
      <c r="AF2" s="1" t="s">
        <v>72</v>
      </c>
    </row>
    <row r="3" spans="1:32" x14ac:dyDescent="0.35">
      <c r="A3" s="1">
        <v>2</v>
      </c>
      <c r="B3" s="3">
        <v>44209</v>
      </c>
      <c r="C3" s="3" t="s">
        <v>36</v>
      </c>
      <c r="D3" s="2" t="s">
        <v>21</v>
      </c>
      <c r="E3" s="1" t="s">
        <v>25</v>
      </c>
      <c r="F3" s="1" t="s">
        <v>25</v>
      </c>
      <c r="G3" s="1">
        <v>24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24</v>
      </c>
      <c r="X3" s="1">
        <v>200</v>
      </c>
      <c r="Y3" s="1">
        <v>30</v>
      </c>
      <c r="Z3" s="1">
        <v>135</v>
      </c>
      <c r="AA3" s="1">
        <v>40</v>
      </c>
      <c r="AB3" s="1">
        <v>100</v>
      </c>
      <c r="AC3" s="1">
        <v>0</v>
      </c>
      <c r="AD3" s="1">
        <v>0</v>
      </c>
      <c r="AE3" s="4">
        <v>0</v>
      </c>
      <c r="AF3" s="1" t="s">
        <v>72</v>
      </c>
    </row>
    <row r="4" spans="1:32" x14ac:dyDescent="0.35">
      <c r="A4" s="1">
        <v>3</v>
      </c>
      <c r="B4" s="3">
        <v>44214</v>
      </c>
      <c r="C4" s="3" t="s">
        <v>37</v>
      </c>
      <c r="D4" s="2" t="s">
        <v>21</v>
      </c>
      <c r="E4" s="1" t="s">
        <v>25</v>
      </c>
      <c r="F4" s="1" t="s">
        <v>25</v>
      </c>
      <c r="G4" s="1">
        <v>24</v>
      </c>
      <c r="H4" s="1">
        <v>2</v>
      </c>
      <c r="I4" s="1">
        <v>0</v>
      </c>
      <c r="J4" s="1">
        <v>0</v>
      </c>
      <c r="K4" s="1">
        <v>2</v>
      </c>
      <c r="L4" s="1">
        <v>0</v>
      </c>
      <c r="M4" s="1">
        <v>0</v>
      </c>
      <c r="N4" s="1">
        <v>0</v>
      </c>
      <c r="O4" s="1">
        <v>2</v>
      </c>
      <c r="P4" s="1">
        <v>2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f t="shared" ref="W4:W9" si="0">SUM(G4:P4)</f>
        <v>32</v>
      </c>
      <c r="X4" s="1">
        <v>200</v>
      </c>
      <c r="Y4" s="1">
        <v>30</v>
      </c>
      <c r="Z4" s="1">
        <v>135</v>
      </c>
      <c r="AA4" s="1">
        <v>40</v>
      </c>
      <c r="AB4" s="1">
        <v>100</v>
      </c>
      <c r="AC4" s="1">
        <v>667</v>
      </c>
      <c r="AD4" s="1">
        <v>27</v>
      </c>
      <c r="AE4" s="4">
        <f>1-975/1916</f>
        <v>0.49112734864300622</v>
      </c>
      <c r="AF4" s="1" t="s">
        <v>71</v>
      </c>
    </row>
    <row r="5" spans="1:32" x14ac:dyDescent="0.35">
      <c r="A5" s="1">
        <v>4</v>
      </c>
      <c r="B5" s="3">
        <v>44214</v>
      </c>
      <c r="C5" s="3" t="s">
        <v>37</v>
      </c>
      <c r="D5" s="2" t="s">
        <v>21</v>
      </c>
      <c r="E5" s="1" t="s">
        <v>25</v>
      </c>
      <c r="F5" s="1" t="s">
        <v>25</v>
      </c>
      <c r="G5" s="1">
        <v>24</v>
      </c>
      <c r="H5" s="1">
        <v>3</v>
      </c>
      <c r="I5" s="1">
        <v>0</v>
      </c>
      <c r="J5" s="1">
        <v>0</v>
      </c>
      <c r="K5" s="1">
        <v>2</v>
      </c>
      <c r="L5" s="1">
        <v>0</v>
      </c>
      <c r="M5" s="1">
        <v>0</v>
      </c>
      <c r="N5" s="1">
        <v>0</v>
      </c>
      <c r="O5" s="1">
        <v>2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f t="shared" si="0"/>
        <v>32</v>
      </c>
      <c r="X5" s="1">
        <v>200</v>
      </c>
      <c r="Y5" s="1">
        <v>30</v>
      </c>
      <c r="Z5" s="1">
        <v>135</v>
      </c>
      <c r="AA5" s="1">
        <v>40</v>
      </c>
      <c r="AB5" s="1">
        <v>100</v>
      </c>
      <c r="AC5" s="1">
        <v>684</v>
      </c>
      <c r="AD5" s="1">
        <v>10.5</v>
      </c>
      <c r="AE5" s="4">
        <f>1-973/1928</f>
        <v>0.4953319502074689</v>
      </c>
      <c r="AF5" s="1" t="s">
        <v>71</v>
      </c>
    </row>
    <row r="6" spans="1:32" x14ac:dyDescent="0.35">
      <c r="A6" s="1">
        <v>5</v>
      </c>
      <c r="B6" s="3">
        <v>44217</v>
      </c>
      <c r="C6" s="3" t="s">
        <v>37</v>
      </c>
      <c r="D6" s="2" t="s">
        <v>21</v>
      </c>
      <c r="E6" s="1" t="s">
        <v>25</v>
      </c>
      <c r="F6" s="1" t="s">
        <v>25</v>
      </c>
      <c r="G6" s="1">
        <v>23</v>
      </c>
      <c r="H6" s="1">
        <v>3</v>
      </c>
      <c r="I6" s="1">
        <v>0</v>
      </c>
      <c r="J6" s="1">
        <v>0</v>
      </c>
      <c r="K6" s="1">
        <v>2</v>
      </c>
      <c r="L6" s="1">
        <v>0</v>
      </c>
      <c r="M6" s="1">
        <v>0</v>
      </c>
      <c r="N6" s="1">
        <v>0</v>
      </c>
      <c r="O6" s="1">
        <v>2</v>
      </c>
      <c r="P6" s="1">
        <v>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f t="shared" si="0"/>
        <v>32</v>
      </c>
      <c r="X6" s="1">
        <v>200</v>
      </c>
      <c r="Y6" s="1">
        <v>30</v>
      </c>
      <c r="Z6" s="1">
        <v>135</v>
      </c>
      <c r="AA6" s="1">
        <v>40</v>
      </c>
      <c r="AB6" s="1">
        <v>100</v>
      </c>
      <c r="AC6" s="1">
        <v>675</v>
      </c>
      <c r="AD6" s="1">
        <v>23.7</v>
      </c>
      <c r="AE6" s="4">
        <f>1-985/1858</f>
        <v>0.46986006458557594</v>
      </c>
      <c r="AF6" s="1" t="s">
        <v>71</v>
      </c>
    </row>
    <row r="7" spans="1:32" x14ac:dyDescent="0.35">
      <c r="A7" s="1">
        <v>6</v>
      </c>
      <c r="B7" s="3">
        <v>44222</v>
      </c>
      <c r="C7" s="3" t="s">
        <v>37</v>
      </c>
      <c r="D7" s="2" t="s">
        <v>21</v>
      </c>
      <c r="E7" s="1" t="s">
        <v>25</v>
      </c>
      <c r="F7" s="1" t="s">
        <v>25</v>
      </c>
      <c r="G7" s="1">
        <v>24</v>
      </c>
      <c r="H7" s="1">
        <v>2</v>
      </c>
      <c r="I7" s="1">
        <v>0</v>
      </c>
      <c r="J7" s="1">
        <v>0</v>
      </c>
      <c r="K7" s="1">
        <v>3</v>
      </c>
      <c r="L7" s="1">
        <v>0</v>
      </c>
      <c r="M7" s="1">
        <v>0</v>
      </c>
      <c r="N7" s="1">
        <v>0</v>
      </c>
      <c r="O7" s="1">
        <v>2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f t="shared" si="0"/>
        <v>32</v>
      </c>
      <c r="X7" s="1">
        <v>200</v>
      </c>
      <c r="Y7" s="1">
        <v>30</v>
      </c>
      <c r="Z7" s="1">
        <v>135</v>
      </c>
      <c r="AA7" s="1">
        <v>40</v>
      </c>
      <c r="AB7" s="1">
        <v>100</v>
      </c>
      <c r="AC7" s="1">
        <v>619</v>
      </c>
      <c r="AD7" s="1">
        <v>14</v>
      </c>
      <c r="AE7" s="4">
        <f>1-1022/1917</f>
        <v>0.46687532603025561</v>
      </c>
      <c r="AF7" s="1" t="s">
        <v>71</v>
      </c>
    </row>
    <row r="8" spans="1:32" x14ac:dyDescent="0.35">
      <c r="A8" s="1">
        <v>7</v>
      </c>
      <c r="B8" s="3">
        <v>44222</v>
      </c>
      <c r="C8" s="3" t="s">
        <v>37</v>
      </c>
      <c r="D8" s="2" t="s">
        <v>21</v>
      </c>
      <c r="E8" s="1" t="s">
        <v>25</v>
      </c>
      <c r="F8" s="1" t="s">
        <v>25</v>
      </c>
      <c r="G8" s="1">
        <v>23</v>
      </c>
      <c r="H8" s="1">
        <v>3</v>
      </c>
      <c r="I8" s="1">
        <v>0</v>
      </c>
      <c r="J8" s="1">
        <v>0</v>
      </c>
      <c r="K8" s="1">
        <v>3</v>
      </c>
      <c r="L8" s="1">
        <v>0</v>
      </c>
      <c r="M8" s="1">
        <v>0</v>
      </c>
      <c r="N8" s="1">
        <v>0</v>
      </c>
      <c r="O8" s="1">
        <v>2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f t="shared" si="0"/>
        <v>32</v>
      </c>
      <c r="X8" s="1">
        <v>200</v>
      </c>
      <c r="Y8" s="1">
        <v>30</v>
      </c>
      <c r="Z8" s="1">
        <v>135</v>
      </c>
      <c r="AA8" s="1">
        <v>40</v>
      </c>
      <c r="AB8" s="1">
        <v>100</v>
      </c>
      <c r="AC8" s="1">
        <v>639</v>
      </c>
      <c r="AD8" s="1">
        <v>12.8</v>
      </c>
      <c r="AE8" s="4">
        <f>1-994/1867</f>
        <v>0.46759507230851638</v>
      </c>
      <c r="AF8" s="1" t="s">
        <v>71</v>
      </c>
    </row>
    <row r="9" spans="1:32" x14ac:dyDescent="0.35">
      <c r="A9" s="1">
        <v>8</v>
      </c>
      <c r="B9" s="3">
        <v>44229</v>
      </c>
      <c r="C9" s="3" t="s">
        <v>37</v>
      </c>
      <c r="D9" s="2" t="s">
        <v>21</v>
      </c>
      <c r="E9" s="1" t="s">
        <v>25</v>
      </c>
      <c r="F9" s="1" t="s">
        <v>25</v>
      </c>
      <c r="G9" s="1">
        <v>23</v>
      </c>
      <c r="H9" s="1">
        <v>4</v>
      </c>
      <c r="I9" s="1">
        <v>0</v>
      </c>
      <c r="J9" s="1">
        <v>0</v>
      </c>
      <c r="K9" s="1">
        <v>3</v>
      </c>
      <c r="L9" s="1">
        <v>0</v>
      </c>
      <c r="M9" s="1">
        <v>0</v>
      </c>
      <c r="N9" s="1">
        <v>0</v>
      </c>
      <c r="O9" s="1">
        <v>2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f t="shared" si="0"/>
        <v>33</v>
      </c>
      <c r="X9" s="1">
        <v>200</v>
      </c>
      <c r="Y9" s="1">
        <v>30</v>
      </c>
      <c r="Z9" s="1">
        <v>135</v>
      </c>
      <c r="AA9" s="1">
        <v>40</v>
      </c>
      <c r="AB9" s="1">
        <v>100</v>
      </c>
      <c r="AC9" s="1">
        <v>652</v>
      </c>
      <c r="AD9" s="1">
        <v>15.6</v>
      </c>
      <c r="AE9" s="4">
        <v>0.47020000000000001</v>
      </c>
      <c r="AF9" s="1" t="s">
        <v>71</v>
      </c>
    </row>
    <row r="10" spans="1:32" x14ac:dyDescent="0.35">
      <c r="A10" s="1">
        <v>9</v>
      </c>
      <c r="B10" s="3">
        <v>44229</v>
      </c>
      <c r="C10" s="3" t="s">
        <v>38</v>
      </c>
      <c r="D10" s="2" t="s">
        <v>21</v>
      </c>
      <c r="E10" s="1" t="s">
        <v>25</v>
      </c>
      <c r="F10" s="1" t="s">
        <v>25</v>
      </c>
      <c r="G10" s="1">
        <v>23</v>
      </c>
      <c r="H10" s="1">
        <v>0</v>
      </c>
      <c r="I10" s="1">
        <v>0</v>
      </c>
      <c r="J10" s="1">
        <v>0</v>
      </c>
      <c r="K10" s="1">
        <v>3</v>
      </c>
      <c r="L10" s="1">
        <v>0</v>
      </c>
      <c r="M10" s="1">
        <v>0</v>
      </c>
      <c r="N10" s="1">
        <v>0</v>
      </c>
      <c r="O10" s="1">
        <v>2</v>
      </c>
      <c r="P10" s="1">
        <v>1</v>
      </c>
      <c r="Q10" s="1">
        <v>4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f>SUM(G10:Q10)</f>
        <v>33</v>
      </c>
      <c r="X10" s="1">
        <v>200</v>
      </c>
      <c r="Y10" s="1">
        <v>30</v>
      </c>
      <c r="Z10" s="1">
        <v>135</v>
      </c>
      <c r="AA10" s="1">
        <v>40</v>
      </c>
      <c r="AB10" s="1">
        <v>100</v>
      </c>
      <c r="AC10" s="1">
        <v>664</v>
      </c>
      <c r="AD10" s="1">
        <v>14.3</v>
      </c>
      <c r="AE10" s="4">
        <f>1-1007/1977</f>
        <v>0.49064238745574107</v>
      </c>
      <c r="AF10" s="1" t="s">
        <v>73</v>
      </c>
    </row>
    <row r="11" spans="1:32" x14ac:dyDescent="0.35">
      <c r="A11" s="1">
        <v>10</v>
      </c>
      <c r="B11" s="3">
        <v>44229</v>
      </c>
      <c r="C11" s="3" t="s">
        <v>38</v>
      </c>
      <c r="D11" s="2" t="s">
        <v>21</v>
      </c>
      <c r="E11" s="1" t="s">
        <v>25</v>
      </c>
      <c r="F11" s="1" t="s">
        <v>25</v>
      </c>
      <c r="G11" s="1">
        <v>24</v>
      </c>
      <c r="H11" s="1">
        <v>0</v>
      </c>
      <c r="I11" s="1">
        <v>0</v>
      </c>
      <c r="J11" s="1">
        <v>0</v>
      </c>
      <c r="K11" s="1">
        <v>2</v>
      </c>
      <c r="L11" s="1">
        <v>0</v>
      </c>
      <c r="M11" s="1">
        <v>0</v>
      </c>
      <c r="N11" s="1">
        <v>0</v>
      </c>
      <c r="O11" s="1">
        <v>2</v>
      </c>
      <c r="P11" s="1">
        <v>2</v>
      </c>
      <c r="Q11" s="1">
        <v>3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f>SUM(G11:Q11)</f>
        <v>33</v>
      </c>
      <c r="X11" s="1">
        <v>200</v>
      </c>
      <c r="Y11" s="1">
        <v>30</v>
      </c>
      <c r="Z11" s="1">
        <v>135</v>
      </c>
      <c r="AA11" s="1">
        <v>40</v>
      </c>
      <c r="AB11" s="1">
        <v>100</v>
      </c>
      <c r="AC11" s="1">
        <v>688</v>
      </c>
      <c r="AD11" s="1">
        <v>15</v>
      </c>
      <c r="AE11" s="4">
        <f>1-998/1980</f>
        <v>0.49595959595959593</v>
      </c>
      <c r="AF11" s="1" t="s">
        <v>73</v>
      </c>
    </row>
    <row r="12" spans="1:32" x14ac:dyDescent="0.35">
      <c r="A12" s="1">
        <v>11</v>
      </c>
      <c r="B12" s="3">
        <v>44236</v>
      </c>
      <c r="C12" s="3" t="s">
        <v>40</v>
      </c>
      <c r="D12" s="2" t="s">
        <v>21</v>
      </c>
      <c r="E12" s="1" t="s">
        <v>25</v>
      </c>
      <c r="F12" s="1" t="s">
        <v>25</v>
      </c>
      <c r="G12" s="1">
        <v>24</v>
      </c>
      <c r="H12" s="1">
        <v>3</v>
      </c>
      <c r="I12" s="1">
        <v>0</v>
      </c>
      <c r="J12" s="1">
        <v>0</v>
      </c>
      <c r="K12" s="1">
        <v>2</v>
      </c>
      <c r="L12" s="1">
        <v>0</v>
      </c>
      <c r="M12" s="1">
        <v>0</v>
      </c>
      <c r="N12" s="1">
        <v>0</v>
      </c>
      <c r="O12" s="1">
        <v>2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f>SUM(G12:P12)</f>
        <v>32</v>
      </c>
      <c r="X12" s="1">
        <v>200</v>
      </c>
      <c r="Y12" s="1">
        <v>30</v>
      </c>
      <c r="Z12" s="1">
        <v>135</v>
      </c>
      <c r="AA12" s="1">
        <v>40</v>
      </c>
      <c r="AB12" s="1">
        <v>100</v>
      </c>
      <c r="AC12" s="1">
        <v>684</v>
      </c>
      <c r="AD12" s="1">
        <v>10.5</v>
      </c>
      <c r="AE12" s="4">
        <f>1-819/1931</f>
        <v>0.5758674262040393</v>
      </c>
      <c r="AF12" s="1" t="s">
        <v>71</v>
      </c>
    </row>
    <row r="13" spans="1:32" x14ac:dyDescent="0.35">
      <c r="A13" s="1">
        <v>12</v>
      </c>
      <c r="B13" s="3">
        <v>44236</v>
      </c>
      <c r="C13" s="3" t="s">
        <v>39</v>
      </c>
      <c r="D13" s="2" t="s">
        <v>21</v>
      </c>
      <c r="E13" s="1" t="s">
        <v>25</v>
      </c>
      <c r="F13" s="1" t="s">
        <v>25</v>
      </c>
      <c r="G13" s="1">
        <v>24</v>
      </c>
      <c r="H13" s="1">
        <v>3</v>
      </c>
      <c r="I13" s="1">
        <v>0</v>
      </c>
      <c r="J13" s="1">
        <v>0</v>
      </c>
      <c r="K13" s="1">
        <v>2</v>
      </c>
      <c r="L13" s="1">
        <v>0</v>
      </c>
      <c r="M13" s="1">
        <v>0</v>
      </c>
      <c r="N13" s="1">
        <v>0</v>
      </c>
      <c r="O13" s="1">
        <v>2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f>SUM(G13:P13)</f>
        <v>32</v>
      </c>
      <c r="X13" s="1">
        <v>200</v>
      </c>
      <c r="Y13" s="1">
        <v>30</v>
      </c>
      <c r="Z13" s="1">
        <v>135</v>
      </c>
      <c r="AA13" s="1">
        <v>40</v>
      </c>
      <c r="AB13" s="1">
        <v>100</v>
      </c>
      <c r="AC13" s="1">
        <v>684</v>
      </c>
      <c r="AD13" s="1">
        <v>10.5</v>
      </c>
      <c r="AE13" s="4">
        <f>1-997/1928</f>
        <v>0.48288381742738584</v>
      </c>
      <c r="AF13" s="1" t="s">
        <v>71</v>
      </c>
    </row>
    <row r="14" spans="1:32" x14ac:dyDescent="0.35">
      <c r="A14" s="1">
        <v>13</v>
      </c>
      <c r="B14" s="3">
        <v>44245</v>
      </c>
      <c r="C14" s="3" t="s">
        <v>38</v>
      </c>
      <c r="D14" s="2" t="s">
        <v>21</v>
      </c>
      <c r="E14" s="1" t="s">
        <v>25</v>
      </c>
      <c r="F14" s="1" t="s">
        <v>25</v>
      </c>
      <c r="G14" s="1">
        <v>24</v>
      </c>
      <c r="H14" s="1">
        <v>0</v>
      </c>
      <c r="I14" s="1">
        <v>0</v>
      </c>
      <c r="J14" s="1">
        <v>0</v>
      </c>
      <c r="K14" s="1">
        <v>2</v>
      </c>
      <c r="L14" s="1">
        <v>0</v>
      </c>
      <c r="M14" s="1">
        <v>0</v>
      </c>
      <c r="N14" s="1">
        <v>0</v>
      </c>
      <c r="O14" s="1">
        <v>2</v>
      </c>
      <c r="P14" s="1">
        <v>2</v>
      </c>
      <c r="Q14" s="1">
        <v>0</v>
      </c>
      <c r="R14" s="1">
        <v>0</v>
      </c>
      <c r="S14" s="1">
        <v>3</v>
      </c>
      <c r="T14" s="1">
        <v>0</v>
      </c>
      <c r="U14" s="1">
        <v>0</v>
      </c>
      <c r="V14" s="1">
        <v>0</v>
      </c>
      <c r="W14" s="1">
        <f t="shared" ref="W14:W19" si="1">SUM(G14:S14)</f>
        <v>33</v>
      </c>
      <c r="X14" s="1">
        <v>200</v>
      </c>
      <c r="Y14" s="1">
        <v>30</v>
      </c>
      <c r="Z14" s="1">
        <v>135</v>
      </c>
      <c r="AA14" s="1">
        <v>40</v>
      </c>
      <c r="AB14" s="1">
        <v>100</v>
      </c>
      <c r="AC14" s="1">
        <v>646</v>
      </c>
      <c r="AD14" s="1">
        <v>18</v>
      </c>
      <c r="AE14" s="4">
        <f>1-996/1971</f>
        <v>0.49467275494672758</v>
      </c>
      <c r="AF14" s="1" t="s">
        <v>73</v>
      </c>
    </row>
    <row r="15" spans="1:32" x14ac:dyDescent="0.35">
      <c r="A15" s="1">
        <v>14</v>
      </c>
      <c r="B15" s="3">
        <v>44245</v>
      </c>
      <c r="C15" s="3" t="s">
        <v>44</v>
      </c>
      <c r="D15" s="2" t="s">
        <v>21</v>
      </c>
      <c r="E15" s="1" t="s">
        <v>25</v>
      </c>
      <c r="F15" s="1" t="s">
        <v>25</v>
      </c>
      <c r="G15" s="1">
        <v>24</v>
      </c>
      <c r="H15" s="1">
        <v>3</v>
      </c>
      <c r="I15" s="1">
        <v>0</v>
      </c>
      <c r="J15" s="1">
        <v>0</v>
      </c>
      <c r="K15" s="1">
        <v>2</v>
      </c>
      <c r="L15" s="1">
        <v>0</v>
      </c>
      <c r="M15" s="1">
        <v>0</v>
      </c>
      <c r="N15" s="1">
        <v>0</v>
      </c>
      <c r="O15" s="1">
        <v>2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f t="shared" si="1"/>
        <v>32</v>
      </c>
      <c r="X15" s="1">
        <v>200</v>
      </c>
      <c r="Y15" s="1">
        <v>30</v>
      </c>
      <c r="Z15" s="1">
        <v>135</v>
      </c>
      <c r="AA15" s="1">
        <v>40</v>
      </c>
      <c r="AB15" s="1">
        <v>75</v>
      </c>
      <c r="AC15" s="1">
        <v>640</v>
      </c>
      <c r="AD15" s="1">
        <v>23.8</v>
      </c>
      <c r="AE15" s="4">
        <f>1-972/1936</f>
        <v>0.49793388429752061</v>
      </c>
      <c r="AF15" s="1" t="s">
        <v>71</v>
      </c>
    </row>
    <row r="16" spans="1:32" x14ac:dyDescent="0.35">
      <c r="A16" s="1">
        <v>15</v>
      </c>
      <c r="B16" s="3">
        <v>44253</v>
      </c>
      <c r="C16" s="3" t="s">
        <v>38</v>
      </c>
      <c r="D16" s="2" t="s">
        <v>21</v>
      </c>
      <c r="E16" s="1" t="s">
        <v>25</v>
      </c>
      <c r="F16" s="1" t="s">
        <v>25</v>
      </c>
      <c r="G16" s="1">
        <v>23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</v>
      </c>
      <c r="P16" s="1">
        <v>1</v>
      </c>
      <c r="Q16" s="1">
        <v>0</v>
      </c>
      <c r="R16" s="1">
        <v>6</v>
      </c>
      <c r="S16" s="1">
        <v>0</v>
      </c>
      <c r="T16" s="1">
        <v>0</v>
      </c>
      <c r="U16" s="1">
        <v>0</v>
      </c>
      <c r="V16" s="1">
        <v>0</v>
      </c>
      <c r="W16" s="1">
        <f t="shared" si="1"/>
        <v>33</v>
      </c>
      <c r="X16" s="1">
        <v>200</v>
      </c>
      <c r="Y16" s="1">
        <v>30</v>
      </c>
      <c r="Z16" s="1">
        <v>135</v>
      </c>
      <c r="AA16" s="1">
        <v>40</v>
      </c>
      <c r="AB16" s="1">
        <v>100</v>
      </c>
      <c r="AC16" s="1">
        <v>623</v>
      </c>
      <c r="AD16" s="1">
        <v>1</v>
      </c>
      <c r="AE16" s="4">
        <f>1-1024/1986</f>
        <v>0.48439073514602216</v>
      </c>
      <c r="AF16" s="1" t="s">
        <v>73</v>
      </c>
    </row>
    <row r="17" spans="1:32" x14ac:dyDescent="0.35">
      <c r="A17" s="1">
        <v>16</v>
      </c>
      <c r="B17" s="3">
        <v>44253</v>
      </c>
      <c r="C17" s="3" t="s">
        <v>38</v>
      </c>
      <c r="D17" s="2" t="s">
        <v>21</v>
      </c>
      <c r="E17" s="1" t="s">
        <v>25</v>
      </c>
      <c r="F17" s="1" t="s">
        <v>25</v>
      </c>
      <c r="G17" s="1">
        <v>12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3</v>
      </c>
      <c r="P17" s="1">
        <v>1</v>
      </c>
      <c r="Q17" s="1">
        <v>11</v>
      </c>
      <c r="R17" s="1">
        <v>6</v>
      </c>
      <c r="S17" s="1">
        <v>0</v>
      </c>
      <c r="T17" s="1">
        <v>0</v>
      </c>
      <c r="U17" s="1">
        <v>0</v>
      </c>
      <c r="V17" s="1">
        <v>0</v>
      </c>
      <c r="W17" s="1">
        <f t="shared" si="1"/>
        <v>33</v>
      </c>
      <c r="X17" s="1">
        <v>200</v>
      </c>
      <c r="Y17" s="1">
        <v>30</v>
      </c>
      <c r="Z17" s="1">
        <v>135</v>
      </c>
      <c r="AA17" s="1">
        <v>40</v>
      </c>
      <c r="AB17" s="1">
        <v>100</v>
      </c>
      <c r="AC17" s="1">
        <v>708</v>
      </c>
      <c r="AD17" s="1">
        <v>1.4</v>
      </c>
      <c r="AE17" s="4">
        <f>1-1077/1629</f>
        <v>0.33885819521178639</v>
      </c>
      <c r="AF17" s="1" t="s">
        <v>73</v>
      </c>
    </row>
    <row r="18" spans="1:32" x14ac:dyDescent="0.35">
      <c r="A18" s="1">
        <v>17</v>
      </c>
      <c r="B18" s="3">
        <v>44256</v>
      </c>
      <c r="C18" s="3" t="s">
        <v>38</v>
      </c>
      <c r="D18" s="2" t="s">
        <v>21</v>
      </c>
      <c r="E18" s="1" t="s">
        <v>25</v>
      </c>
      <c r="F18" s="1" t="s">
        <v>25</v>
      </c>
      <c r="G18" s="1">
        <v>20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</v>
      </c>
      <c r="P18" s="1">
        <v>1</v>
      </c>
      <c r="Q18" s="1">
        <v>5</v>
      </c>
      <c r="R18" s="1">
        <v>4</v>
      </c>
      <c r="S18" s="1">
        <v>0</v>
      </c>
      <c r="T18" s="1">
        <v>0</v>
      </c>
      <c r="U18" s="1">
        <v>0</v>
      </c>
      <c r="V18" s="1">
        <v>0</v>
      </c>
      <c r="W18" s="1">
        <f t="shared" si="1"/>
        <v>33</v>
      </c>
      <c r="X18" s="1">
        <v>200</v>
      </c>
      <c r="Y18" s="1">
        <v>30</v>
      </c>
      <c r="Z18" s="1">
        <v>135</v>
      </c>
      <c r="AA18" s="1">
        <v>40</v>
      </c>
      <c r="AB18" s="1">
        <v>100</v>
      </c>
      <c r="AC18" s="1">
        <v>632</v>
      </c>
      <c r="AD18" s="1">
        <v>3</v>
      </c>
      <c r="AE18" s="4">
        <f>1-1036/1894</f>
        <v>0.45300950369588178</v>
      </c>
      <c r="AF18" s="1" t="s">
        <v>73</v>
      </c>
    </row>
    <row r="19" spans="1:32" x14ac:dyDescent="0.35">
      <c r="A19" s="1">
        <v>18</v>
      </c>
      <c r="B19" s="3">
        <v>44256</v>
      </c>
      <c r="C19" s="3" t="s">
        <v>38</v>
      </c>
      <c r="D19" s="2" t="s">
        <v>21</v>
      </c>
      <c r="E19" s="1" t="s">
        <v>25</v>
      </c>
      <c r="F19" s="1" t="s">
        <v>25</v>
      </c>
      <c r="G19" s="1">
        <v>17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</v>
      </c>
      <c r="P19" s="1">
        <v>1</v>
      </c>
      <c r="Q19" s="1">
        <v>6</v>
      </c>
      <c r="R19" s="1">
        <v>6</v>
      </c>
      <c r="S19" s="1">
        <v>0</v>
      </c>
      <c r="T19" s="1">
        <v>0</v>
      </c>
      <c r="U19" s="1">
        <v>0</v>
      </c>
      <c r="V19" s="1">
        <v>0</v>
      </c>
      <c r="W19" s="1">
        <f t="shared" si="1"/>
        <v>33</v>
      </c>
      <c r="X19" s="1">
        <v>200</v>
      </c>
      <c r="Y19" s="1">
        <v>30</v>
      </c>
      <c r="Z19" s="1">
        <v>135</v>
      </c>
      <c r="AA19" s="1">
        <v>40</v>
      </c>
      <c r="AB19" s="1">
        <v>100</v>
      </c>
      <c r="AC19" s="1">
        <v>650</v>
      </c>
      <c r="AD19" s="1">
        <v>5.4</v>
      </c>
      <c r="AE19" s="4">
        <f>1-1036/1891</f>
        <v>0.45214172395557906</v>
      </c>
      <c r="AF19" s="1" t="s">
        <v>73</v>
      </c>
    </row>
    <row r="20" spans="1:32" x14ac:dyDescent="0.35">
      <c r="A20" s="1">
        <v>19</v>
      </c>
      <c r="B20" s="3">
        <v>44265</v>
      </c>
      <c r="C20" s="3" t="s">
        <v>38</v>
      </c>
      <c r="D20" s="2" t="s">
        <v>21</v>
      </c>
      <c r="E20" s="1" t="s">
        <v>25</v>
      </c>
      <c r="F20" s="1" t="s">
        <v>25</v>
      </c>
      <c r="G20" s="1">
        <v>22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4</v>
      </c>
      <c r="S20" s="1">
        <v>3</v>
      </c>
      <c r="T20" s="1">
        <v>0</v>
      </c>
      <c r="U20" s="1">
        <v>0</v>
      </c>
      <c r="V20" s="1">
        <v>0</v>
      </c>
      <c r="W20" s="1">
        <v>31</v>
      </c>
      <c r="X20" s="1">
        <v>200</v>
      </c>
      <c r="Y20" s="1">
        <v>30</v>
      </c>
      <c r="Z20" s="1">
        <v>135</v>
      </c>
      <c r="AA20" s="1">
        <v>40</v>
      </c>
      <c r="AB20" s="1">
        <v>100</v>
      </c>
      <c r="AC20" s="1">
        <v>613</v>
      </c>
      <c r="AD20" s="1">
        <v>13.4</v>
      </c>
      <c r="AE20" s="4">
        <f>1-968/1813</f>
        <v>0.46607832322118037</v>
      </c>
      <c r="AF20" s="1" t="s">
        <v>73</v>
      </c>
    </row>
    <row r="21" spans="1:32" x14ac:dyDescent="0.35">
      <c r="A21" s="1">
        <v>20</v>
      </c>
      <c r="B21" s="3">
        <v>44265</v>
      </c>
      <c r="C21" s="3" t="s">
        <v>38</v>
      </c>
      <c r="D21" s="2" t="s">
        <v>21</v>
      </c>
      <c r="E21" s="1" t="s">
        <v>25</v>
      </c>
      <c r="F21" s="1" t="s">
        <v>25</v>
      </c>
      <c r="G21" s="1">
        <v>18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4</v>
      </c>
      <c r="R21" s="1">
        <v>4</v>
      </c>
      <c r="S21" s="1">
        <v>3</v>
      </c>
      <c r="T21" s="1">
        <v>0</v>
      </c>
      <c r="U21" s="1">
        <v>0</v>
      </c>
      <c r="V21" s="1">
        <v>0</v>
      </c>
      <c r="W21" s="1">
        <v>31</v>
      </c>
      <c r="X21" s="1">
        <v>200</v>
      </c>
      <c r="Y21" s="1">
        <v>30</v>
      </c>
      <c r="Z21" s="1">
        <v>135</v>
      </c>
      <c r="AA21" s="1">
        <v>40</v>
      </c>
      <c r="AB21" s="1">
        <v>100</v>
      </c>
      <c r="AC21" s="1">
        <v>645</v>
      </c>
      <c r="AD21" s="1">
        <v>12.8</v>
      </c>
      <c r="AE21" s="4">
        <f>1-950/1792</f>
        <v>0.4698660714285714</v>
      </c>
      <c r="AF21" s="1" t="s">
        <v>73</v>
      </c>
    </row>
    <row r="22" spans="1:32" x14ac:dyDescent="0.35">
      <c r="A22" s="1">
        <v>21</v>
      </c>
      <c r="B22" s="3">
        <v>44265</v>
      </c>
      <c r="C22" s="3" t="s">
        <v>34</v>
      </c>
      <c r="D22" s="2" t="s">
        <v>21</v>
      </c>
      <c r="E22" s="1" t="s">
        <v>25</v>
      </c>
      <c r="F22" s="1" t="s">
        <v>17</v>
      </c>
      <c r="G22" s="1">
        <v>22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22</v>
      </c>
      <c r="X22" s="1">
        <v>200</v>
      </c>
      <c r="Y22" s="1">
        <v>30</v>
      </c>
      <c r="Z22" s="1">
        <v>135</v>
      </c>
      <c r="AA22" s="1">
        <v>40</v>
      </c>
      <c r="AB22" s="1">
        <v>100</v>
      </c>
      <c r="AC22" s="1">
        <v>0</v>
      </c>
      <c r="AD22" s="1">
        <v>0</v>
      </c>
      <c r="AE22" s="4">
        <v>0</v>
      </c>
      <c r="AF22" s="1" t="s">
        <v>72</v>
      </c>
    </row>
    <row r="23" spans="1:32" x14ac:dyDescent="0.35">
      <c r="A23" s="1">
        <v>22</v>
      </c>
      <c r="B23" s="3">
        <v>44273</v>
      </c>
      <c r="C23" s="3" t="s">
        <v>41</v>
      </c>
      <c r="D23" s="2" t="s">
        <v>21</v>
      </c>
      <c r="E23" s="1" t="s">
        <v>17</v>
      </c>
      <c r="F23" s="1" t="s">
        <v>25</v>
      </c>
      <c r="G23" s="1">
        <v>24</v>
      </c>
      <c r="H23" s="1">
        <v>3</v>
      </c>
      <c r="I23" s="1">
        <v>0</v>
      </c>
      <c r="J23" s="1">
        <v>0</v>
      </c>
      <c r="K23" s="1">
        <v>2</v>
      </c>
      <c r="L23" s="1">
        <v>0</v>
      </c>
      <c r="M23" s="1">
        <v>0</v>
      </c>
      <c r="N23" s="1">
        <v>0</v>
      </c>
      <c r="O23" s="1">
        <v>2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f>SUM(Table1[[#This Row],[Square ply]:[Cross_W120L240]])</f>
        <v>32</v>
      </c>
      <c r="X23" s="1">
        <v>200</v>
      </c>
      <c r="Y23" s="1">
        <v>30</v>
      </c>
      <c r="Z23" s="1">
        <v>135</v>
      </c>
      <c r="AA23" s="1">
        <v>40</v>
      </c>
      <c r="AB23" s="1">
        <v>0</v>
      </c>
      <c r="AC23" s="1">
        <v>704</v>
      </c>
      <c r="AD23" s="1">
        <v>51</v>
      </c>
      <c r="AE23" s="4">
        <f>1-962/1931</f>
        <v>0.50181253236664936</v>
      </c>
      <c r="AF23" s="1" t="s">
        <v>71</v>
      </c>
    </row>
    <row r="24" spans="1:32" x14ac:dyDescent="0.35">
      <c r="A24" s="1">
        <v>23</v>
      </c>
      <c r="B24" s="3">
        <v>44273</v>
      </c>
      <c r="C24" s="3" t="s">
        <v>41</v>
      </c>
      <c r="D24" s="2" t="s">
        <v>21</v>
      </c>
      <c r="E24" s="1" t="s">
        <v>17</v>
      </c>
      <c r="F24" s="1" t="s">
        <v>25</v>
      </c>
      <c r="G24" s="1">
        <v>12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</v>
      </c>
      <c r="P24" s="1">
        <v>1</v>
      </c>
      <c r="Q24" s="1">
        <v>11</v>
      </c>
      <c r="R24" s="1">
        <v>6</v>
      </c>
      <c r="S24" s="1">
        <v>0</v>
      </c>
      <c r="T24" s="1">
        <v>0</v>
      </c>
      <c r="U24" s="1">
        <v>0</v>
      </c>
      <c r="V24" s="1">
        <v>0</v>
      </c>
      <c r="W24" s="1">
        <f>SUM(Table1[[#This Row],[Square ply]:[Cross_W120L240]])</f>
        <v>33</v>
      </c>
      <c r="X24" s="1">
        <v>200</v>
      </c>
      <c r="Y24" s="1">
        <v>30</v>
      </c>
      <c r="Z24" s="1">
        <v>135</v>
      </c>
      <c r="AA24" s="1">
        <v>40</v>
      </c>
      <c r="AB24" s="1">
        <v>100</v>
      </c>
      <c r="AC24" s="1">
        <v>0</v>
      </c>
      <c r="AD24" s="1">
        <v>0</v>
      </c>
      <c r="AE24" s="4">
        <v>0</v>
      </c>
      <c r="AF24" s="1" t="s">
        <v>73</v>
      </c>
    </row>
    <row r="25" spans="1:32" x14ac:dyDescent="0.35">
      <c r="A25" s="1">
        <v>24</v>
      </c>
      <c r="B25" s="3">
        <v>44276</v>
      </c>
      <c r="C25" s="3" t="s">
        <v>45</v>
      </c>
      <c r="D25" s="2" t="s">
        <v>21</v>
      </c>
      <c r="E25" s="1" t="s">
        <v>25</v>
      </c>
      <c r="F25" s="1" t="s">
        <v>25</v>
      </c>
      <c r="G25" s="1">
        <v>24</v>
      </c>
      <c r="H25" s="1">
        <v>3</v>
      </c>
      <c r="I25" s="1">
        <v>0</v>
      </c>
      <c r="J25" s="1">
        <v>0</v>
      </c>
      <c r="K25" s="1">
        <v>2</v>
      </c>
      <c r="L25" s="1">
        <v>0</v>
      </c>
      <c r="M25" s="1">
        <v>0</v>
      </c>
      <c r="N25" s="1">
        <v>0</v>
      </c>
      <c r="O25" s="1">
        <v>2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f>SUM(Table1[[#This Row],[Square ply]:[Cross_W120L240]])</f>
        <v>32</v>
      </c>
      <c r="X25" s="1">
        <v>165</v>
      </c>
      <c r="Y25" s="1">
        <v>30</v>
      </c>
      <c r="Z25" s="1">
        <v>135</v>
      </c>
      <c r="AA25" s="1">
        <v>40</v>
      </c>
      <c r="AB25" s="1">
        <v>100</v>
      </c>
      <c r="AC25" s="1">
        <v>688</v>
      </c>
      <c r="AD25" s="1">
        <v>18.5</v>
      </c>
      <c r="AE25" s="4">
        <f>1-1002/1926</f>
        <v>0.47975077881619943</v>
      </c>
      <c r="AF25" s="1" t="s">
        <v>71</v>
      </c>
    </row>
    <row r="26" spans="1:32" x14ac:dyDescent="0.35">
      <c r="A26" s="1">
        <v>25</v>
      </c>
      <c r="B26" s="3">
        <v>44281</v>
      </c>
      <c r="C26" s="3" t="s">
        <v>41</v>
      </c>
      <c r="D26" s="2" t="s">
        <v>21</v>
      </c>
      <c r="E26" s="1" t="s">
        <v>17</v>
      </c>
      <c r="F26" s="1" t="s">
        <v>25</v>
      </c>
      <c r="G26" s="1">
        <v>24</v>
      </c>
      <c r="H26" s="1">
        <v>3</v>
      </c>
      <c r="I26" s="1">
        <v>0</v>
      </c>
      <c r="J26" s="1">
        <v>0</v>
      </c>
      <c r="K26" s="1">
        <v>2</v>
      </c>
      <c r="L26" s="1">
        <v>0</v>
      </c>
      <c r="M26" s="1">
        <v>0</v>
      </c>
      <c r="N26" s="1">
        <v>0</v>
      </c>
      <c r="O26" s="1">
        <v>2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f>SUM(Table1[[#This Row],[Square ply]:[Cross_W120L240]])</f>
        <v>32</v>
      </c>
      <c r="X26" s="1">
        <v>200</v>
      </c>
      <c r="Y26" s="1">
        <v>30</v>
      </c>
      <c r="Z26" s="1">
        <v>135</v>
      </c>
      <c r="AA26" s="1">
        <v>40</v>
      </c>
      <c r="AB26" s="1">
        <v>0</v>
      </c>
      <c r="AC26" s="1">
        <v>680</v>
      </c>
      <c r="AD26" s="1">
        <v>5.3</v>
      </c>
      <c r="AE26" s="4">
        <f>1-977/1931</f>
        <v>0.49404453650958058</v>
      </c>
      <c r="AF26" s="1" t="s">
        <v>71</v>
      </c>
    </row>
    <row r="27" spans="1:32" x14ac:dyDescent="0.35">
      <c r="A27" s="1">
        <v>26</v>
      </c>
      <c r="B27" s="3">
        <v>44281</v>
      </c>
      <c r="C27" s="3" t="s">
        <v>41</v>
      </c>
      <c r="D27" s="2" t="s">
        <v>21</v>
      </c>
      <c r="E27" s="1" t="s">
        <v>17</v>
      </c>
      <c r="F27" s="1" t="s">
        <v>25</v>
      </c>
      <c r="G27" s="1">
        <v>22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4</v>
      </c>
      <c r="S27" s="1">
        <v>3</v>
      </c>
      <c r="T27" s="1">
        <v>0</v>
      </c>
      <c r="U27" s="1">
        <v>0</v>
      </c>
      <c r="V27" s="1">
        <v>0</v>
      </c>
      <c r="W27" s="1">
        <f>SUM(Table1[[#This Row],[Square ply]:[Cross_W120L240]])</f>
        <v>30</v>
      </c>
      <c r="X27" s="1">
        <v>200</v>
      </c>
      <c r="Y27" s="1">
        <v>30</v>
      </c>
      <c r="Z27" s="1">
        <v>135</v>
      </c>
      <c r="AA27" s="1">
        <v>40</v>
      </c>
      <c r="AB27" s="1">
        <v>0</v>
      </c>
      <c r="AC27" s="1">
        <v>657</v>
      </c>
      <c r="AD27" s="1">
        <v>12.8</v>
      </c>
      <c r="AE27" s="4">
        <f>1-964/1926</f>
        <v>0.49948078920041539</v>
      </c>
      <c r="AF27" s="1" t="s">
        <v>73</v>
      </c>
    </row>
    <row r="28" spans="1:32" x14ac:dyDescent="0.35">
      <c r="A28" s="1">
        <v>27</v>
      </c>
      <c r="B28" s="3">
        <v>44281</v>
      </c>
      <c r="C28" s="3" t="s">
        <v>41</v>
      </c>
      <c r="D28" s="2" t="s">
        <v>21</v>
      </c>
      <c r="E28" s="1" t="s">
        <v>17</v>
      </c>
      <c r="F28" s="1" t="s">
        <v>25</v>
      </c>
      <c r="G28" s="1">
        <v>18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4</v>
      </c>
      <c r="R28" s="1">
        <v>4</v>
      </c>
      <c r="S28" s="1">
        <v>3</v>
      </c>
      <c r="T28" s="1">
        <v>0</v>
      </c>
      <c r="U28" s="1">
        <v>0</v>
      </c>
      <c r="V28" s="1">
        <v>0</v>
      </c>
      <c r="W28" s="1">
        <f>SUM(Table1[[#This Row],[Square ply]:[Cross_W120L240]])</f>
        <v>30</v>
      </c>
      <c r="X28" s="1">
        <v>200</v>
      </c>
      <c r="Y28" s="1">
        <v>30</v>
      </c>
      <c r="Z28" s="1">
        <v>135</v>
      </c>
      <c r="AA28" s="1">
        <v>40</v>
      </c>
      <c r="AB28" s="1">
        <v>0</v>
      </c>
      <c r="AC28" s="1">
        <v>628</v>
      </c>
      <c r="AD28" s="1">
        <v>10</v>
      </c>
      <c r="AE28" s="4">
        <f>1-988/1797</f>
        <v>0.4501947690595437</v>
      </c>
      <c r="AF28" s="1" t="s">
        <v>73</v>
      </c>
    </row>
    <row r="29" spans="1:32" x14ac:dyDescent="0.35">
      <c r="A29" s="1">
        <v>28</v>
      </c>
      <c r="B29" s="3">
        <v>44290</v>
      </c>
      <c r="C29" s="3" t="s">
        <v>37</v>
      </c>
      <c r="D29" s="2" t="s">
        <v>21</v>
      </c>
      <c r="E29" s="1" t="s">
        <v>25</v>
      </c>
      <c r="F29" s="1" t="s">
        <v>25</v>
      </c>
      <c r="G29" s="1">
        <v>25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0</v>
      </c>
      <c r="P29" s="1">
        <v>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f>SUM(Table1[[#This Row],[Square ply]:[Cross_W120L240]])</f>
        <v>35</v>
      </c>
      <c r="X29" s="1">
        <v>200</v>
      </c>
      <c r="Y29" s="1">
        <v>30</v>
      </c>
      <c r="Z29" s="1">
        <v>135</v>
      </c>
      <c r="AA29" s="1">
        <v>40</v>
      </c>
      <c r="AB29" s="1">
        <v>100</v>
      </c>
      <c r="AC29" s="1">
        <v>706</v>
      </c>
      <c r="AD29" s="1">
        <v>9.5</v>
      </c>
      <c r="AE29" s="4">
        <f>1-1035/2018</f>
        <v>0.48711595639246774</v>
      </c>
      <c r="AF29" s="1" t="s">
        <v>71</v>
      </c>
    </row>
    <row r="30" spans="1:32" x14ac:dyDescent="0.35">
      <c r="A30" s="1">
        <v>29</v>
      </c>
      <c r="B30" s="3">
        <v>44294</v>
      </c>
      <c r="C30" s="3" t="s">
        <v>37</v>
      </c>
      <c r="D30" s="2" t="s">
        <v>21</v>
      </c>
      <c r="E30" s="1" t="s">
        <v>25</v>
      </c>
      <c r="F30" s="1" t="s">
        <v>25</v>
      </c>
      <c r="G30" s="1">
        <v>25</v>
      </c>
      <c r="H30" s="1">
        <v>2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0</v>
      </c>
      <c r="P30" s="1">
        <v>1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f>SUM(Table1[[#This Row],[Square ply]:[Cross_W120L240]])</f>
        <v>33</v>
      </c>
      <c r="X30" s="1">
        <v>200</v>
      </c>
      <c r="Y30" s="1">
        <v>30</v>
      </c>
      <c r="Z30" s="1">
        <v>135</v>
      </c>
      <c r="AA30" s="1">
        <v>40</v>
      </c>
      <c r="AB30" s="1">
        <v>100</v>
      </c>
      <c r="AC30" s="1">
        <v>715</v>
      </c>
      <c r="AD30" s="1">
        <v>20</v>
      </c>
      <c r="AE30" s="4">
        <f>1-985/2006</f>
        <v>0.50897308075772685</v>
      </c>
      <c r="AF30" s="1" t="s">
        <v>71</v>
      </c>
    </row>
    <row r="31" spans="1:32" x14ac:dyDescent="0.35">
      <c r="A31" s="1">
        <v>30</v>
      </c>
      <c r="B31" s="3">
        <v>44294</v>
      </c>
      <c r="C31" s="3" t="s">
        <v>43</v>
      </c>
      <c r="D31" s="2" t="s">
        <v>21</v>
      </c>
      <c r="E31" s="1" t="s">
        <v>25</v>
      </c>
      <c r="F31" s="1" t="s">
        <v>25</v>
      </c>
      <c r="G31" s="1">
        <v>25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f>SUM(Table1[[#This Row],[Square ply]:[Cross_W120L240]])</f>
        <v>33</v>
      </c>
      <c r="X31" s="1">
        <v>200</v>
      </c>
      <c r="Y31" s="1">
        <v>30</v>
      </c>
      <c r="Z31" s="1">
        <v>135</v>
      </c>
      <c r="AA31" s="1">
        <v>40</v>
      </c>
      <c r="AB31" s="1">
        <v>130</v>
      </c>
      <c r="AC31" s="1">
        <v>693</v>
      </c>
      <c r="AD31" s="1">
        <v>20</v>
      </c>
      <c r="AE31" s="4">
        <f>1-978/2018</f>
        <v>0.51536174430128834</v>
      </c>
      <c r="AF31" s="1" t="s">
        <v>71</v>
      </c>
    </row>
    <row r="32" spans="1:32" x14ac:dyDescent="0.35">
      <c r="A32" s="1">
        <v>31</v>
      </c>
      <c r="B32" s="3">
        <v>44300</v>
      </c>
      <c r="C32" s="3" t="s">
        <v>42</v>
      </c>
      <c r="D32" s="1" t="s">
        <v>22</v>
      </c>
      <c r="E32" s="1" t="s">
        <v>25</v>
      </c>
      <c r="F32" s="1" t="s">
        <v>25</v>
      </c>
      <c r="G32" s="1">
        <v>25</v>
      </c>
      <c r="H32" s="1">
        <v>2</v>
      </c>
      <c r="I32" s="1">
        <v>2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0</v>
      </c>
      <c r="P32" s="1">
        <v>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f>SUM(Table1[[#This Row],[Square ply]:[Cross_W120L240]])</f>
        <v>35</v>
      </c>
      <c r="X32" s="1">
        <v>200</v>
      </c>
      <c r="Y32" s="1">
        <v>30</v>
      </c>
      <c r="Z32" s="1">
        <v>135</v>
      </c>
      <c r="AA32" s="1">
        <v>40</v>
      </c>
      <c r="AB32" s="1">
        <v>100</v>
      </c>
      <c r="AC32" s="1">
        <v>741</v>
      </c>
      <c r="AD32" s="1">
        <v>9</v>
      </c>
      <c r="AE32" s="4">
        <f>1-1012/1952</f>
        <v>0.48155737704918034</v>
      </c>
      <c r="AF32" s="1" t="s">
        <v>71</v>
      </c>
    </row>
    <row r="33" spans="1:32" x14ac:dyDescent="0.35">
      <c r="A33" s="1">
        <v>32</v>
      </c>
      <c r="B33" s="3">
        <v>44300</v>
      </c>
      <c r="C33" s="3" t="s">
        <v>42</v>
      </c>
      <c r="D33" s="1" t="s">
        <v>23</v>
      </c>
      <c r="E33" s="1" t="s">
        <v>25</v>
      </c>
      <c r="F33" s="1" t="s">
        <v>25</v>
      </c>
      <c r="G33" s="1">
        <v>25</v>
      </c>
      <c r="H33" s="1">
        <v>2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0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f>SUM(Table1[[#This Row],[Square ply]:[Cross_W120L240]])</f>
        <v>33</v>
      </c>
      <c r="X33" s="1">
        <v>200</v>
      </c>
      <c r="Y33" s="1">
        <v>30</v>
      </c>
      <c r="Z33" s="1">
        <v>135</v>
      </c>
      <c r="AA33" s="1">
        <v>40</v>
      </c>
      <c r="AB33" s="1">
        <v>100</v>
      </c>
      <c r="AC33" s="1">
        <v>664</v>
      </c>
      <c r="AD33" s="1">
        <v>16</v>
      </c>
      <c r="AE33" s="4">
        <f>1-967/1936</f>
        <v>0.50051652892561982</v>
      </c>
      <c r="AF33" s="1" t="s">
        <v>71</v>
      </c>
    </row>
    <row r="34" spans="1:32" x14ac:dyDescent="0.35">
      <c r="A34" s="1">
        <v>33</v>
      </c>
      <c r="B34" s="3">
        <v>44300</v>
      </c>
      <c r="C34" s="3" t="s">
        <v>37</v>
      </c>
      <c r="D34" s="2" t="s">
        <v>21</v>
      </c>
      <c r="E34" s="1" t="s">
        <v>25</v>
      </c>
      <c r="F34" s="1" t="s">
        <v>25</v>
      </c>
      <c r="G34" s="1">
        <v>25</v>
      </c>
      <c r="H34" s="1">
        <v>2</v>
      </c>
      <c r="I34" s="1">
        <v>3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f>SUM(Table1[[#This Row],[Square ply]:[Cross_W120L240]])</f>
        <v>34</v>
      </c>
      <c r="X34" s="1">
        <v>200</v>
      </c>
      <c r="Y34" s="1">
        <v>30</v>
      </c>
      <c r="Z34" s="1">
        <v>135</v>
      </c>
      <c r="AA34" s="1">
        <v>40</v>
      </c>
      <c r="AB34" s="1">
        <v>100</v>
      </c>
      <c r="AC34" s="1">
        <v>710</v>
      </c>
      <c r="AD34" s="1">
        <v>8.5</v>
      </c>
      <c r="AE34" s="4">
        <f>1-1003/2033</f>
        <v>0.50664043285784555</v>
      </c>
      <c r="AF34" s="1" t="s">
        <v>71</v>
      </c>
    </row>
    <row r="35" spans="1:32" x14ac:dyDescent="0.35">
      <c r="A35" s="1">
        <v>34</v>
      </c>
      <c r="B35" s="3">
        <v>44300</v>
      </c>
      <c r="C35" s="3" t="s">
        <v>43</v>
      </c>
      <c r="D35" s="2" t="s">
        <v>21</v>
      </c>
      <c r="E35" s="1" t="s">
        <v>25</v>
      </c>
      <c r="F35" s="1" t="s">
        <v>25</v>
      </c>
      <c r="G35" s="1">
        <v>24</v>
      </c>
      <c r="H35" s="1">
        <v>2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f>SUM(Table1[[#This Row],[Square ply]:[Cross_W120L240]])</f>
        <v>33</v>
      </c>
      <c r="X35" s="1">
        <v>200</v>
      </c>
      <c r="Y35" s="1">
        <v>30</v>
      </c>
      <c r="Z35" s="1">
        <v>135</v>
      </c>
      <c r="AA35" s="1">
        <v>40</v>
      </c>
      <c r="AB35" s="1">
        <v>130</v>
      </c>
      <c r="AC35" s="1">
        <v>701</v>
      </c>
      <c r="AD35" s="1">
        <v>7.6</v>
      </c>
      <c r="AE35" s="4">
        <f>1-987/1956</f>
        <v>0.495398773006135</v>
      </c>
      <c r="AF35" s="1" t="s">
        <v>71</v>
      </c>
    </row>
    <row r="36" spans="1:32" x14ac:dyDescent="0.35">
      <c r="A36" s="1">
        <v>35</v>
      </c>
      <c r="B36" s="3">
        <v>44300</v>
      </c>
      <c r="C36" s="3" t="s">
        <v>38</v>
      </c>
      <c r="D36" s="2" t="s">
        <v>21</v>
      </c>
      <c r="E36" s="1" t="s">
        <v>25</v>
      </c>
      <c r="F36" s="1" t="s">
        <v>25</v>
      </c>
      <c r="G36" s="1">
        <v>25</v>
      </c>
      <c r="H36" s="1">
        <v>1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0</v>
      </c>
      <c r="O36" s="1">
        <v>1</v>
      </c>
      <c r="P36" s="1">
        <v>1</v>
      </c>
      <c r="Q36" s="1">
        <v>0</v>
      </c>
      <c r="R36" s="1">
        <v>0</v>
      </c>
      <c r="S36" s="1">
        <v>0</v>
      </c>
      <c r="T36" s="1">
        <v>1</v>
      </c>
      <c r="U36" s="1">
        <v>1</v>
      </c>
      <c r="V36" s="1">
        <v>1</v>
      </c>
      <c r="W36" s="1">
        <f>SUM(Table1[[#This Row],[Square ply]:[Cross_W120L240]])</f>
        <v>33</v>
      </c>
      <c r="X36" s="1">
        <v>200</v>
      </c>
      <c r="Y36" s="1">
        <v>30</v>
      </c>
      <c r="Z36" s="1">
        <v>135</v>
      </c>
      <c r="AA36" s="1">
        <v>40</v>
      </c>
      <c r="AB36" s="1">
        <v>100</v>
      </c>
      <c r="AC36" s="1">
        <v>680</v>
      </c>
      <c r="AD36" s="1">
        <v>7.1</v>
      </c>
      <c r="AE36" s="4">
        <f>1-966/1983</f>
        <v>0.51285930408472014</v>
      </c>
      <c r="AF36" s="1" t="s">
        <v>73</v>
      </c>
    </row>
    <row r="37" spans="1:32" x14ac:dyDescent="0.35">
      <c r="A37" s="1">
        <v>36</v>
      </c>
      <c r="B37" s="3">
        <v>44308</v>
      </c>
      <c r="C37" s="2" t="s">
        <v>34</v>
      </c>
      <c r="D37" s="1" t="s">
        <v>21</v>
      </c>
      <c r="E37" s="1" t="s">
        <v>24</v>
      </c>
      <c r="F37" s="1" t="s">
        <v>17</v>
      </c>
      <c r="G37" s="1">
        <v>21</v>
      </c>
      <c r="H37" s="1">
        <v>2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0</v>
      </c>
      <c r="P37" s="1">
        <v>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f>SUM(Table1[[#This Row],[Square ply]:[Cross_W120L240]])</f>
        <v>29</v>
      </c>
      <c r="X37" s="1">
        <v>200</v>
      </c>
      <c r="Y37" s="1">
        <v>30</v>
      </c>
      <c r="Z37" s="1">
        <v>135</v>
      </c>
      <c r="AA37" s="1">
        <v>40</v>
      </c>
      <c r="AB37" s="1">
        <v>100</v>
      </c>
      <c r="AC37" s="1">
        <v>0</v>
      </c>
      <c r="AD37" s="1">
        <v>0</v>
      </c>
      <c r="AE37" s="4">
        <v>0</v>
      </c>
      <c r="AF37" s="1" t="s">
        <v>71</v>
      </c>
    </row>
    <row r="38" spans="1:32" x14ac:dyDescent="0.35">
      <c r="A38" s="1">
        <v>37</v>
      </c>
      <c r="B38" s="3">
        <v>44308</v>
      </c>
      <c r="C38" s="2" t="s">
        <v>34</v>
      </c>
      <c r="D38" s="1" t="s">
        <v>21</v>
      </c>
      <c r="E38" s="1" t="s">
        <v>24</v>
      </c>
      <c r="F38" s="1" t="s">
        <v>17</v>
      </c>
      <c r="G38" s="1">
        <v>21</v>
      </c>
      <c r="H38" s="1">
        <v>1</v>
      </c>
      <c r="I38" s="1">
        <v>0</v>
      </c>
      <c r="J38" s="1">
        <v>1</v>
      </c>
      <c r="K38" s="1">
        <v>0</v>
      </c>
      <c r="L38" s="1">
        <v>0</v>
      </c>
      <c r="M38" s="1">
        <v>1</v>
      </c>
      <c r="N38" s="1">
        <v>0</v>
      </c>
      <c r="O38" s="1">
        <v>1</v>
      </c>
      <c r="P38" s="1">
        <v>1</v>
      </c>
      <c r="Q38" s="1">
        <v>0</v>
      </c>
      <c r="R38" s="1">
        <v>0</v>
      </c>
      <c r="S38" s="1">
        <v>0</v>
      </c>
      <c r="T38" s="1">
        <v>1</v>
      </c>
      <c r="U38" s="1">
        <v>1</v>
      </c>
      <c r="V38" s="1">
        <v>1</v>
      </c>
      <c r="W38" s="1">
        <f>SUM(Table1[[#This Row],[Square ply]:[Cross_W120L240]])</f>
        <v>29</v>
      </c>
      <c r="X38" s="1">
        <v>200</v>
      </c>
      <c r="Y38" s="1">
        <v>30</v>
      </c>
      <c r="Z38" s="1">
        <v>135</v>
      </c>
      <c r="AA38" s="1">
        <v>40</v>
      </c>
      <c r="AB38" s="1">
        <v>100</v>
      </c>
      <c r="AC38" s="1">
        <v>0</v>
      </c>
      <c r="AD38" s="1">
        <v>0</v>
      </c>
      <c r="AE38" s="1">
        <v>0</v>
      </c>
      <c r="AF38" s="1" t="s">
        <v>73</v>
      </c>
    </row>
    <row r="39" spans="1:32" x14ac:dyDescent="0.35">
      <c r="A39" s="1">
        <v>38</v>
      </c>
      <c r="B39" s="2">
        <v>44321</v>
      </c>
      <c r="C39" s="3" t="s">
        <v>42</v>
      </c>
      <c r="D39" s="1" t="s">
        <v>21</v>
      </c>
      <c r="E39" s="1" t="s">
        <v>24</v>
      </c>
      <c r="F39" s="1" t="s">
        <v>25</v>
      </c>
      <c r="G39" s="1">
        <v>24</v>
      </c>
      <c r="H39" s="1">
        <v>2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f>SUM(Table1[[#This Row],[Square ply]:[Cross_W120L240]])</f>
        <v>32</v>
      </c>
      <c r="X39" s="1">
        <v>200</v>
      </c>
      <c r="Y39" s="1">
        <v>30</v>
      </c>
      <c r="Z39" s="1">
        <v>135</v>
      </c>
      <c r="AA39" s="1">
        <v>40</v>
      </c>
      <c r="AB39" s="1">
        <v>100</v>
      </c>
      <c r="AC39" s="1">
        <v>0</v>
      </c>
      <c r="AD39" s="1">
        <v>0</v>
      </c>
      <c r="AE39" s="1">
        <v>0</v>
      </c>
      <c r="AF39" s="1" t="s">
        <v>71</v>
      </c>
    </row>
    <row r="40" spans="1:32" x14ac:dyDescent="0.35">
      <c r="A40" s="1">
        <v>39</v>
      </c>
      <c r="B40" s="2">
        <v>44321</v>
      </c>
      <c r="C40" s="3" t="s">
        <v>38</v>
      </c>
      <c r="D40" s="1" t="s">
        <v>21</v>
      </c>
      <c r="E40" s="1" t="s">
        <v>24</v>
      </c>
      <c r="F40" s="1" t="s">
        <v>25</v>
      </c>
      <c r="G40" s="1">
        <v>25</v>
      </c>
      <c r="H40" s="1">
        <v>2</v>
      </c>
      <c r="I40" s="1">
        <v>0</v>
      </c>
      <c r="J40" s="1">
        <v>1</v>
      </c>
      <c r="K40" s="1">
        <v>0</v>
      </c>
      <c r="L40" s="1">
        <v>0</v>
      </c>
      <c r="M40" s="1">
        <v>1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>
        <v>1</v>
      </c>
      <c r="U40" s="1">
        <v>1</v>
      </c>
      <c r="V40" s="1">
        <v>0</v>
      </c>
      <c r="W40" s="1">
        <f>SUM(Table1[[#This Row],[Square ply]:[Cross_W120L240]])</f>
        <v>33</v>
      </c>
      <c r="X40" s="1">
        <v>200</v>
      </c>
      <c r="Y40" s="1">
        <v>30</v>
      </c>
      <c r="Z40" s="1">
        <v>135</v>
      </c>
      <c r="AA40" s="1">
        <v>40</v>
      </c>
      <c r="AB40" s="1">
        <v>100</v>
      </c>
      <c r="AC40" s="1">
        <v>706</v>
      </c>
      <c r="AD40" s="1">
        <v>17</v>
      </c>
      <c r="AE40" s="10">
        <v>0.5</v>
      </c>
      <c r="AF40" s="1" t="s">
        <v>73</v>
      </c>
    </row>
    <row r="41" spans="1:32" x14ac:dyDescent="0.35">
      <c r="A41" s="1">
        <v>40</v>
      </c>
      <c r="B41" s="2">
        <v>44321</v>
      </c>
      <c r="C41" s="3" t="s">
        <v>38</v>
      </c>
      <c r="D41" s="1" t="s">
        <v>21</v>
      </c>
      <c r="E41" s="1" t="s">
        <v>24</v>
      </c>
      <c r="F41" s="1" t="s">
        <v>25</v>
      </c>
      <c r="G41" s="1">
        <v>26</v>
      </c>
      <c r="H41" s="1">
        <v>1</v>
      </c>
      <c r="I41" s="1">
        <v>0</v>
      </c>
      <c r="J41" s="1">
        <v>1</v>
      </c>
      <c r="K41" s="1">
        <v>0</v>
      </c>
      <c r="L41" s="1">
        <v>0</v>
      </c>
      <c r="M41" s="1">
        <v>1</v>
      </c>
      <c r="N41" s="1">
        <v>0</v>
      </c>
      <c r="O41" s="1">
        <v>1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1</v>
      </c>
      <c r="W41" s="1">
        <f>SUM(Table1[[#This Row],[Square ply]:[Cross_W120L240]])</f>
        <v>33</v>
      </c>
      <c r="X41" s="1">
        <v>200</v>
      </c>
      <c r="Y41" s="1">
        <v>30</v>
      </c>
      <c r="Z41" s="1">
        <v>135</v>
      </c>
      <c r="AA41" s="1">
        <v>40</v>
      </c>
      <c r="AB41" s="1">
        <v>100</v>
      </c>
      <c r="AC41" s="1">
        <v>711</v>
      </c>
      <c r="AD41" s="1">
        <v>22</v>
      </c>
      <c r="AE41" s="10">
        <v>0.5</v>
      </c>
      <c r="AF41" s="1" t="s">
        <v>73</v>
      </c>
    </row>
    <row r="42" spans="1:32" x14ac:dyDescent="0.35">
      <c r="A42" s="1">
        <v>41</v>
      </c>
      <c r="B42" s="2">
        <v>44321</v>
      </c>
      <c r="C42" s="3" t="s">
        <v>34</v>
      </c>
      <c r="D42" s="1" t="s">
        <v>21</v>
      </c>
      <c r="E42" s="1" t="s">
        <v>24</v>
      </c>
      <c r="F42" s="1" t="s">
        <v>17</v>
      </c>
      <c r="G42" s="1">
        <v>23</v>
      </c>
      <c r="H42" s="1">
        <v>1</v>
      </c>
      <c r="I42" s="1">
        <v>0</v>
      </c>
      <c r="J42" s="1">
        <v>1</v>
      </c>
      <c r="K42" s="1">
        <v>0</v>
      </c>
      <c r="L42" s="1">
        <v>0</v>
      </c>
      <c r="M42" s="1">
        <v>1</v>
      </c>
      <c r="N42" s="1">
        <v>0</v>
      </c>
      <c r="O42" s="1">
        <v>1</v>
      </c>
      <c r="P42" s="1">
        <v>1</v>
      </c>
      <c r="Q42" s="1">
        <v>0</v>
      </c>
      <c r="R42" s="1">
        <v>0</v>
      </c>
      <c r="S42" s="1">
        <v>0</v>
      </c>
      <c r="T42" s="1">
        <v>1</v>
      </c>
      <c r="U42" s="1">
        <v>1</v>
      </c>
      <c r="V42" s="1">
        <v>1</v>
      </c>
      <c r="W42" s="1">
        <f>SUM(Table1[[#This Row],[Square ply]:[Cross_W120L240]])</f>
        <v>31</v>
      </c>
      <c r="X42" s="1">
        <v>200</v>
      </c>
      <c r="Y42" s="1">
        <v>30</v>
      </c>
      <c r="Z42" s="1">
        <v>135</v>
      </c>
      <c r="AA42" s="1">
        <v>40</v>
      </c>
      <c r="AB42" s="1">
        <v>100</v>
      </c>
      <c r="AC42" s="1">
        <v>0</v>
      </c>
      <c r="AD42" s="1">
        <v>0</v>
      </c>
      <c r="AE42" s="1">
        <v>0</v>
      </c>
      <c r="AF42" s="1" t="s">
        <v>73</v>
      </c>
    </row>
  </sheetData>
  <phoneticPr fontId="1" type="noConversion"/>
  <pageMargins left="0.7" right="0.7" top="0.75" bottom="0.75" header="0.3" footer="0.3"/>
  <pageSetup orientation="portrait" verticalDpi="0" r:id="rId1"/>
  <headerFooter>
    <oddHeader>&amp;R&amp;"Calibri"&amp;10&amp;K737373Confidential&amp;1#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7E98-0E45-4B12-8492-F42DA5B7C778}">
  <dimension ref="A1:F23"/>
  <sheetViews>
    <sheetView zoomScale="90" zoomScaleNormal="90" workbookViewId="0">
      <selection sqref="A1:F22"/>
    </sheetView>
  </sheetViews>
  <sheetFormatPr defaultRowHeight="14.5" x14ac:dyDescent="0.35"/>
  <cols>
    <col min="1" max="1" width="10.90625" style="1" customWidth="1"/>
    <col min="2" max="2" width="36.90625" style="1" bestFit="1" customWidth="1"/>
    <col min="3" max="3" width="27.1796875" style="1" bestFit="1" customWidth="1"/>
    <col min="4" max="4" width="13.08984375" style="8" customWidth="1"/>
    <col min="5" max="5" width="9.453125" style="1" bestFit="1" customWidth="1"/>
    <col min="6" max="6" width="22.1796875" style="1" bestFit="1" customWidth="1"/>
    <col min="7" max="16384" width="8.7265625" style="1"/>
  </cols>
  <sheetData>
    <row r="1" spans="1:6" x14ac:dyDescent="0.35">
      <c r="A1" s="1" t="s">
        <v>47</v>
      </c>
      <c r="B1" s="1" t="s">
        <v>86</v>
      </c>
      <c r="C1" s="1" t="s">
        <v>87</v>
      </c>
      <c r="D1" s="8" t="s">
        <v>103</v>
      </c>
      <c r="E1" s="1" t="s">
        <v>104</v>
      </c>
      <c r="F1" s="1" t="s">
        <v>109</v>
      </c>
    </row>
    <row r="2" spans="1:6" x14ac:dyDescent="0.35">
      <c r="A2" s="1" t="s">
        <v>101</v>
      </c>
      <c r="B2" s="1" t="s">
        <v>102</v>
      </c>
      <c r="C2" s="9">
        <v>55000000</v>
      </c>
      <c r="D2" s="8">
        <v>2000000</v>
      </c>
      <c r="E2" s="10">
        <v>0.4</v>
      </c>
      <c r="F2" s="9">
        <f>Table4[[#This Row],[PoS (May5)]]*Table4[[#This Row],[Revenue (in EUR)]]</f>
        <v>22000000</v>
      </c>
    </row>
    <row r="3" spans="1:6" x14ac:dyDescent="0.35">
      <c r="A3" s="1" t="s">
        <v>56</v>
      </c>
      <c r="B3" s="1" t="s">
        <v>93</v>
      </c>
      <c r="C3" s="9">
        <v>13000000</v>
      </c>
      <c r="D3" s="8">
        <v>780000</v>
      </c>
      <c r="E3" s="10">
        <v>0.2</v>
      </c>
      <c r="F3" s="9">
        <f>Table4[[#This Row],[PoS (May5)]]*Table4[[#This Row],[Revenue (in EUR)]]</f>
        <v>2600000</v>
      </c>
    </row>
    <row r="4" spans="1:6" x14ac:dyDescent="0.35">
      <c r="A4" s="1" t="s">
        <v>97</v>
      </c>
      <c r="B4" s="1" t="s">
        <v>98</v>
      </c>
      <c r="C4" s="9">
        <v>7000000</v>
      </c>
      <c r="D4" s="8">
        <v>400000</v>
      </c>
      <c r="E4" s="10">
        <v>0.2</v>
      </c>
      <c r="F4" s="9">
        <f>Table4[[#This Row],[PoS (May5)]]*Table4[[#This Row],[Revenue (in EUR)]]</f>
        <v>1400000</v>
      </c>
    </row>
    <row r="5" spans="1:6" x14ac:dyDescent="0.35">
      <c r="A5" s="1" t="s">
        <v>54</v>
      </c>
      <c r="B5" s="1" t="s">
        <v>92</v>
      </c>
      <c r="C5" s="9">
        <v>1000000</v>
      </c>
      <c r="D5" s="8">
        <v>60000</v>
      </c>
      <c r="E5" s="10">
        <v>0.8</v>
      </c>
      <c r="F5" s="9">
        <f>Table4[[#This Row],[PoS (May5)]]*Table4[[#This Row],[Revenue (in EUR)]]</f>
        <v>800000</v>
      </c>
    </row>
    <row r="6" spans="1:6" x14ac:dyDescent="0.35">
      <c r="A6" s="1" t="s">
        <v>85</v>
      </c>
      <c r="B6" s="1" t="s">
        <v>105</v>
      </c>
      <c r="C6" s="9">
        <v>3654000</v>
      </c>
      <c r="D6" s="8">
        <v>206000</v>
      </c>
      <c r="E6" s="10">
        <v>0.2</v>
      </c>
      <c r="F6" s="9">
        <f>Table4[[#This Row],[PoS (May5)]]*Table4[[#This Row],[Revenue (in EUR)]]</f>
        <v>730800</v>
      </c>
    </row>
    <row r="7" spans="1:6" x14ac:dyDescent="0.35">
      <c r="A7" s="1" t="s">
        <v>99</v>
      </c>
      <c r="B7" s="1" t="s">
        <v>100</v>
      </c>
      <c r="C7" s="9">
        <v>5000000</v>
      </c>
      <c r="D7" s="8">
        <v>250000</v>
      </c>
      <c r="E7" s="10">
        <v>0.1</v>
      </c>
      <c r="F7" s="9">
        <f>Table4[[#This Row],[PoS (May5)]]*Table4[[#This Row],[Revenue (in EUR)]]</f>
        <v>500000</v>
      </c>
    </row>
    <row r="8" spans="1:6" x14ac:dyDescent="0.35">
      <c r="A8" s="1" t="s">
        <v>85</v>
      </c>
      <c r="B8" s="1" t="s">
        <v>74</v>
      </c>
      <c r="C8" s="9">
        <v>4465000</v>
      </c>
      <c r="D8" s="8">
        <v>235000</v>
      </c>
      <c r="E8" s="10">
        <v>0.1</v>
      </c>
      <c r="F8" s="9">
        <f>Table4[[#This Row],[PoS (May5)]]*Table4[[#This Row],[Revenue (in EUR)]]</f>
        <v>446500</v>
      </c>
    </row>
    <row r="9" spans="1:6" x14ac:dyDescent="0.35">
      <c r="A9" s="1" t="s">
        <v>77</v>
      </c>
      <c r="B9" s="1" t="s">
        <v>74</v>
      </c>
      <c r="C9" s="9">
        <v>4465000</v>
      </c>
      <c r="D9" s="8">
        <v>235000</v>
      </c>
      <c r="E9" s="10">
        <v>0.1</v>
      </c>
      <c r="F9" s="9">
        <f>Table4[[#This Row],[PoS (May5)]]*Table4[[#This Row],[Revenue (in EUR)]]</f>
        <v>446500</v>
      </c>
    </row>
    <row r="10" spans="1:6" x14ac:dyDescent="0.35">
      <c r="A10" s="1" t="s">
        <v>60</v>
      </c>
      <c r="B10" s="1" t="s">
        <v>98</v>
      </c>
      <c r="C10" s="9">
        <v>2000000</v>
      </c>
      <c r="D10" s="8">
        <v>110000</v>
      </c>
      <c r="E10" s="10">
        <v>0.2</v>
      </c>
      <c r="F10" s="9">
        <f>Table4[[#This Row],[PoS (May5)]]*Table4[[#This Row],[Revenue (in EUR)]]</f>
        <v>400000</v>
      </c>
    </row>
    <row r="11" spans="1:6" ht="14.5" customHeight="1" x14ac:dyDescent="0.35">
      <c r="A11" s="1" t="s">
        <v>90</v>
      </c>
      <c r="B11" s="1" t="s">
        <v>91</v>
      </c>
      <c r="C11" s="9">
        <v>7244100</v>
      </c>
      <c r="D11" s="8">
        <v>450000</v>
      </c>
      <c r="E11" s="10">
        <v>0.05</v>
      </c>
      <c r="F11" s="9">
        <f>Table4[[#This Row],[PoS (May5)]]*Table4[[#This Row],[Revenue (in EUR)]]</f>
        <v>362205</v>
      </c>
    </row>
    <row r="12" spans="1:6" x14ac:dyDescent="0.35">
      <c r="A12" s="1" t="s">
        <v>54</v>
      </c>
      <c r="B12" s="1" t="s">
        <v>106</v>
      </c>
      <c r="C12" s="9">
        <v>2000000</v>
      </c>
      <c r="D12" s="8">
        <v>120000</v>
      </c>
      <c r="E12" s="10">
        <v>0.15</v>
      </c>
      <c r="F12" s="9">
        <f>Table4[[#This Row],[PoS (May5)]]*Table4[[#This Row],[Revenue (in EUR)]]</f>
        <v>300000</v>
      </c>
    </row>
    <row r="13" spans="1:6" x14ac:dyDescent="0.35">
      <c r="A13" s="1" t="s">
        <v>107</v>
      </c>
      <c r="B13" s="1" t="s">
        <v>108</v>
      </c>
      <c r="C13" s="9">
        <v>6000000</v>
      </c>
      <c r="D13" s="8">
        <v>200000</v>
      </c>
      <c r="E13" s="10">
        <v>0.05</v>
      </c>
      <c r="F13" s="9">
        <f>Table4[[#This Row],[PoS (May5)]]*Table4[[#This Row],[Revenue (in EUR)]]</f>
        <v>300000</v>
      </c>
    </row>
    <row r="14" spans="1:6" x14ac:dyDescent="0.35">
      <c r="A14" s="1" t="s">
        <v>88</v>
      </c>
      <c r="B14" s="1" t="s">
        <v>89</v>
      </c>
      <c r="C14" s="9">
        <v>3508960</v>
      </c>
      <c r="D14" s="8">
        <v>208000</v>
      </c>
      <c r="E14" s="10">
        <v>0.05</v>
      </c>
      <c r="F14" s="9">
        <f>Table4[[#This Row],[PoS (May5)]]*Table4[[#This Row],[Revenue (in EUR)]]</f>
        <v>175448</v>
      </c>
    </row>
    <row r="15" spans="1:6" x14ac:dyDescent="0.35">
      <c r="A15" s="1" t="s">
        <v>79</v>
      </c>
      <c r="B15" s="1" t="s">
        <v>80</v>
      </c>
      <c r="C15" s="9">
        <v>843500</v>
      </c>
      <c r="D15" s="8">
        <v>50000</v>
      </c>
      <c r="E15" s="10">
        <v>0.2</v>
      </c>
      <c r="F15" s="9">
        <f>Table4[[#This Row],[PoS (May5)]]*Table4[[#This Row],[Revenue (in EUR)]]</f>
        <v>168700</v>
      </c>
    </row>
    <row r="16" spans="1:6" x14ac:dyDescent="0.35">
      <c r="A16" s="1" t="s">
        <v>85</v>
      </c>
      <c r="B16" s="1" t="s">
        <v>76</v>
      </c>
      <c r="C16" s="9">
        <v>867420</v>
      </c>
      <c r="D16" s="8">
        <v>36600</v>
      </c>
      <c r="E16" s="10">
        <v>0.15</v>
      </c>
      <c r="F16" s="9">
        <f>Table4[[#This Row],[PoS (May5)]]*Table4[[#This Row],[Revenue (in EUR)]]</f>
        <v>130113</v>
      </c>
    </row>
    <row r="17" spans="1:6" x14ac:dyDescent="0.35">
      <c r="A17" s="1" t="s">
        <v>83</v>
      </c>
      <c r="B17" s="1" t="s">
        <v>84</v>
      </c>
      <c r="C17" s="9">
        <v>2556800</v>
      </c>
      <c r="D17" s="8">
        <v>188000</v>
      </c>
      <c r="E17" s="10">
        <v>0.05</v>
      </c>
      <c r="F17" s="9">
        <f>Table4[[#This Row],[PoS (May5)]]*Table4[[#This Row],[Revenue (in EUR)]]</f>
        <v>127840</v>
      </c>
    </row>
    <row r="18" spans="1:6" x14ac:dyDescent="0.35">
      <c r="A18" s="1" t="s">
        <v>59</v>
      </c>
      <c r="B18" s="1" t="s">
        <v>78</v>
      </c>
      <c r="C18" s="9">
        <v>1754480</v>
      </c>
      <c r="D18" s="8">
        <v>104000</v>
      </c>
      <c r="E18" s="10">
        <v>0.05</v>
      </c>
      <c r="F18" s="9">
        <f>Table4[[#This Row],[PoS (May5)]]*Table4[[#This Row],[Revenue (in EUR)]]</f>
        <v>87724</v>
      </c>
    </row>
    <row r="19" spans="1:6" x14ac:dyDescent="0.35">
      <c r="A19" s="1" t="s">
        <v>85</v>
      </c>
      <c r="B19" s="1" t="s">
        <v>75</v>
      </c>
      <c r="C19" s="9">
        <v>1695760</v>
      </c>
      <c r="D19" s="8">
        <v>88000</v>
      </c>
      <c r="E19" s="10">
        <v>0.05</v>
      </c>
      <c r="F19" s="9">
        <f>Table4[[#This Row],[PoS (May5)]]*Table4[[#This Row],[Revenue (in EUR)]]</f>
        <v>84788</v>
      </c>
    </row>
    <row r="20" spans="1:6" x14ac:dyDescent="0.35">
      <c r="A20" s="1" t="s">
        <v>81</v>
      </c>
      <c r="B20" s="1" t="s">
        <v>82</v>
      </c>
      <c r="C20" s="9">
        <v>485856</v>
      </c>
      <c r="D20" s="8">
        <v>28800</v>
      </c>
      <c r="E20" s="10">
        <v>0.1</v>
      </c>
      <c r="F20" s="9">
        <f>Table4[[#This Row],[PoS (May5)]]*Table4[[#This Row],[Revenue (in EUR)]]</f>
        <v>48585.600000000006</v>
      </c>
    </row>
    <row r="21" spans="1:6" x14ac:dyDescent="0.35">
      <c r="A21" s="1" t="s">
        <v>94</v>
      </c>
      <c r="B21" s="1" t="s">
        <v>95</v>
      </c>
      <c r="C21" s="9">
        <v>2000000</v>
      </c>
      <c r="D21" s="8">
        <v>120000</v>
      </c>
      <c r="E21" s="10">
        <v>0</v>
      </c>
      <c r="F21" s="9">
        <f>Table4[[#This Row],[PoS (May5)]]*Table4[[#This Row],[Revenue (in EUR)]]</f>
        <v>0</v>
      </c>
    </row>
    <row r="22" spans="1:6" x14ac:dyDescent="0.35">
      <c r="A22" s="1" t="s">
        <v>55</v>
      </c>
      <c r="B22" s="1" t="s">
        <v>96</v>
      </c>
      <c r="C22" s="9">
        <v>1600000</v>
      </c>
      <c r="D22" s="8">
        <v>400000</v>
      </c>
      <c r="E22" s="10">
        <v>0</v>
      </c>
      <c r="F22" s="9">
        <f>Table4[[#This Row],[PoS (May5)]]*Table4[[#This Row],[Revenue (in EUR)]]</f>
        <v>0</v>
      </c>
    </row>
    <row r="23" spans="1:6" x14ac:dyDescent="0.35">
      <c r="A23" s="1" t="s">
        <v>62</v>
      </c>
      <c r="B23" s="1" t="s">
        <v>110</v>
      </c>
      <c r="C23" s="9">
        <v>0</v>
      </c>
      <c r="D23" s="8">
        <v>0</v>
      </c>
      <c r="E23" s="1">
        <v>0</v>
      </c>
      <c r="F23" s="1">
        <v>0</v>
      </c>
    </row>
  </sheetData>
  <pageMargins left="0.7" right="0.7" top="0.75" bottom="0.75" header="0.3" footer="0.3"/>
  <pageSetup orientation="portrait" verticalDpi="0" r:id="rId1"/>
  <headerFooter>
    <oddHeader>&amp;R&amp;"Calibri"&amp;10&amp;K737373Confidential&amp;1#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4FD4-3234-47CB-A228-E99B3B27F8E3}">
  <dimension ref="A1:G16"/>
  <sheetViews>
    <sheetView tabSelected="1" zoomScaleNormal="100" workbookViewId="0">
      <selection activeCell="D6" sqref="D6"/>
    </sheetView>
  </sheetViews>
  <sheetFormatPr defaultRowHeight="14.5" x14ac:dyDescent="0.35"/>
  <cols>
    <col min="1" max="1" width="10.90625" customWidth="1"/>
    <col min="2" max="2" width="9.90625" customWidth="1"/>
    <col min="3" max="3" width="10.81640625" customWidth="1"/>
    <col min="4" max="4" width="9.6328125" customWidth="1"/>
    <col min="5" max="5" width="8.7265625" customWidth="1"/>
    <col min="6" max="6" width="10.1796875" customWidth="1"/>
    <col min="7" max="7" width="37.7265625" bestFit="1" customWidth="1"/>
  </cols>
  <sheetData>
    <row r="1" spans="1:7" x14ac:dyDescent="0.35">
      <c r="A1" s="1" t="s">
        <v>47</v>
      </c>
      <c r="B1" s="1" t="s">
        <v>48</v>
      </c>
      <c r="C1" s="1" t="s">
        <v>49</v>
      </c>
      <c r="D1" s="1" t="s">
        <v>61</v>
      </c>
      <c r="E1" s="1" t="s">
        <v>50</v>
      </c>
      <c r="F1" s="1" t="s">
        <v>69</v>
      </c>
      <c r="G1" s="1" t="s">
        <v>111</v>
      </c>
    </row>
    <row r="2" spans="1:7" x14ac:dyDescent="0.35">
      <c r="A2" s="1" t="s">
        <v>54</v>
      </c>
      <c r="B2" s="1" t="s">
        <v>68</v>
      </c>
      <c r="C2" s="1">
        <v>7</v>
      </c>
      <c r="D2" s="1">
        <v>710</v>
      </c>
      <c r="E2" s="7">
        <v>0.3</v>
      </c>
      <c r="F2" s="5">
        <v>54</v>
      </c>
      <c r="G2" s="1">
        <v>0.76</v>
      </c>
    </row>
    <row r="3" spans="1:7" x14ac:dyDescent="0.35">
      <c r="A3" s="1" t="s">
        <v>58</v>
      </c>
      <c r="B3" s="1" t="s">
        <v>65</v>
      </c>
      <c r="C3" s="1">
        <v>8</v>
      </c>
      <c r="D3" s="1">
        <v>840</v>
      </c>
      <c r="E3" s="7">
        <v>0.56999999999999995</v>
      </c>
      <c r="F3" s="5">
        <v>105</v>
      </c>
      <c r="G3" s="1">
        <v>1</v>
      </c>
    </row>
    <row r="4" spans="1:7" x14ac:dyDescent="0.35">
      <c r="A4" s="1" t="s">
        <v>62</v>
      </c>
      <c r="B4" s="1" t="s">
        <v>63</v>
      </c>
      <c r="C4" s="1">
        <v>8</v>
      </c>
      <c r="D4" s="1">
        <v>715</v>
      </c>
      <c r="E4" s="6">
        <v>0.57999999999999996</v>
      </c>
      <c r="F4" s="5">
        <v>86</v>
      </c>
      <c r="G4" s="1">
        <v>0.8</v>
      </c>
    </row>
    <row r="5" spans="1:7" x14ac:dyDescent="0.35">
      <c r="A5" s="1" t="s">
        <v>85</v>
      </c>
      <c r="B5" s="1" t="s">
        <v>64</v>
      </c>
      <c r="C5" s="1">
        <v>6</v>
      </c>
      <c r="D5" s="1">
        <v>560</v>
      </c>
      <c r="E5" s="7">
        <v>0.59</v>
      </c>
      <c r="F5" s="5">
        <v>72</v>
      </c>
      <c r="G5" s="1">
        <v>0.65</v>
      </c>
    </row>
    <row r="6" spans="1:7" x14ac:dyDescent="0.35">
      <c r="E6" t="s">
        <v>53</v>
      </c>
    </row>
    <row r="10" spans="1:7" hidden="1" x14ac:dyDescent="0.35"/>
    <row r="11" spans="1:7" hidden="1" x14ac:dyDescent="0.35"/>
    <row r="12" spans="1:7" hidden="1" x14ac:dyDescent="0.35"/>
    <row r="13" spans="1:7" hidden="1" x14ac:dyDescent="0.35"/>
    <row r="14" spans="1:7" hidden="1" x14ac:dyDescent="0.35"/>
    <row r="15" spans="1:7" hidden="1" x14ac:dyDescent="0.35"/>
    <row r="16" spans="1:7" hidden="1" x14ac:dyDescent="0.35"/>
  </sheetData>
  <pageMargins left="0.7" right="0.7" top="0.75" bottom="0.75" header="0.3" footer="0.3"/>
  <pageSetup orientation="portrait" verticalDpi="0" r:id="rId1"/>
  <headerFooter>
    <oddHeader>&amp;R&amp;"Calibri"&amp;10&amp;K737373Confidential&amp;1#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E42C-4162-4C5D-A008-58D0A5E8A184}">
  <dimension ref="A1:G6"/>
  <sheetViews>
    <sheetView zoomScaleNormal="100" workbookViewId="0">
      <selection activeCell="C6" sqref="C6"/>
    </sheetView>
  </sheetViews>
  <sheetFormatPr defaultRowHeight="14.5" x14ac:dyDescent="0.35"/>
  <cols>
    <col min="1" max="1" width="10.90625" customWidth="1"/>
    <col min="2" max="2" width="9.90625" customWidth="1"/>
    <col min="3" max="3" width="10.81640625" customWidth="1"/>
    <col min="4" max="4" width="9.6328125" customWidth="1"/>
    <col min="5" max="5" width="8.7265625" customWidth="1"/>
    <col min="6" max="6" width="10.1796875" customWidth="1"/>
    <col min="7" max="7" width="37.7265625" bestFit="1" customWidth="1"/>
  </cols>
  <sheetData>
    <row r="1" spans="1:7" x14ac:dyDescent="0.35">
      <c r="A1" s="1" t="s">
        <v>47</v>
      </c>
      <c r="B1" s="1" t="s">
        <v>48</v>
      </c>
      <c r="C1" s="1" t="s">
        <v>49</v>
      </c>
      <c r="D1" s="1" t="s">
        <v>61</v>
      </c>
      <c r="E1" s="1" t="s">
        <v>50</v>
      </c>
      <c r="F1" s="1" t="s">
        <v>69</v>
      </c>
      <c r="G1" s="1" t="s">
        <v>111</v>
      </c>
    </row>
    <row r="2" spans="1:7" x14ac:dyDescent="0.35">
      <c r="A2" s="1" t="s">
        <v>51</v>
      </c>
      <c r="B2" s="1" t="s">
        <v>52</v>
      </c>
      <c r="C2" s="1">
        <v>0</v>
      </c>
      <c r="D2" s="1">
        <v>700</v>
      </c>
      <c r="E2" s="6">
        <v>0.25</v>
      </c>
      <c r="F2" s="5">
        <v>52</v>
      </c>
      <c r="G2" s="1">
        <v>0.96</v>
      </c>
    </row>
    <row r="3" spans="1:7" x14ac:dyDescent="0.35">
      <c r="A3" s="1" t="s">
        <v>54</v>
      </c>
      <c r="B3" s="1" t="s">
        <v>52</v>
      </c>
      <c r="C3" s="1">
        <v>11</v>
      </c>
      <c r="D3" s="1">
        <v>700</v>
      </c>
      <c r="E3" s="6">
        <v>0.3</v>
      </c>
      <c r="F3" s="5">
        <v>54</v>
      </c>
      <c r="G3" s="1">
        <v>1.2</v>
      </c>
    </row>
    <row r="4" spans="1:7" x14ac:dyDescent="0.35">
      <c r="A4" s="1" t="s">
        <v>58</v>
      </c>
      <c r="B4" s="1" t="s">
        <v>52</v>
      </c>
      <c r="C4" s="1">
        <v>7</v>
      </c>
      <c r="D4" s="1">
        <v>650</v>
      </c>
      <c r="E4" s="6">
        <v>0.4</v>
      </c>
      <c r="F4" s="5">
        <v>54</v>
      </c>
      <c r="G4" s="1">
        <v>1.1000000000000001</v>
      </c>
    </row>
    <row r="5" spans="1:7" x14ac:dyDescent="0.35">
      <c r="A5" s="1" t="s">
        <v>58</v>
      </c>
      <c r="B5" s="1" t="s">
        <v>52</v>
      </c>
      <c r="C5" s="1">
        <v>7.4</v>
      </c>
      <c r="D5" s="1">
        <v>650</v>
      </c>
      <c r="E5" s="6">
        <v>0.43</v>
      </c>
      <c r="F5" s="5">
        <v>60</v>
      </c>
      <c r="G5" s="1">
        <v>1.2</v>
      </c>
    </row>
    <row r="6" spans="1:7" x14ac:dyDescent="0.35">
      <c r="E6" t="s">
        <v>53</v>
      </c>
    </row>
  </sheetData>
  <pageMargins left="0.7" right="0.7" top="0.75" bottom="0.75" header="0.3" footer="0.3"/>
  <pageSetup orientation="portrait" verticalDpi="0" r:id="rId1"/>
  <headerFooter>
    <oddHeader>&amp;R&amp;"Calibri"&amp;10&amp;K737373Confidential&amp;1#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CC7B-1C85-4441-A13B-65392B937A16}">
  <dimension ref="A1:G23"/>
  <sheetViews>
    <sheetView zoomScaleNormal="100" workbookViewId="0">
      <selection activeCell="D16" sqref="D16"/>
    </sheetView>
  </sheetViews>
  <sheetFormatPr defaultRowHeight="14.5" x14ac:dyDescent="0.35"/>
  <cols>
    <col min="1" max="1" width="10.90625" customWidth="1"/>
    <col min="2" max="2" width="9.90625" customWidth="1"/>
    <col min="3" max="3" width="10.81640625" customWidth="1"/>
    <col min="4" max="4" width="9.6328125" customWidth="1"/>
    <col min="5" max="5" width="8.7265625" customWidth="1"/>
    <col min="6" max="6" width="10.1796875" customWidth="1"/>
    <col min="7" max="7" width="37.7265625" bestFit="1" customWidth="1"/>
  </cols>
  <sheetData>
    <row r="1" spans="1:7" x14ac:dyDescent="0.35">
      <c r="A1" s="1" t="s">
        <v>47</v>
      </c>
      <c r="B1" s="1" t="s">
        <v>48</v>
      </c>
      <c r="C1" s="1" t="s">
        <v>49</v>
      </c>
      <c r="D1" s="1" t="s">
        <v>61</v>
      </c>
      <c r="E1" s="1" t="s">
        <v>50</v>
      </c>
      <c r="F1" s="1" t="s">
        <v>69</v>
      </c>
      <c r="G1" s="1" t="s">
        <v>111</v>
      </c>
    </row>
    <row r="2" spans="1:7" x14ac:dyDescent="0.35">
      <c r="A2" s="1" t="s">
        <v>55</v>
      </c>
      <c r="B2" s="1" t="s">
        <v>63</v>
      </c>
      <c r="C2" s="1">
        <v>8</v>
      </c>
      <c r="D2" s="1">
        <v>670</v>
      </c>
      <c r="E2" s="7">
        <v>0</v>
      </c>
      <c r="F2" s="5">
        <v>0</v>
      </c>
      <c r="G2" s="1">
        <v>0</v>
      </c>
    </row>
    <row r="3" spans="1:7" x14ac:dyDescent="0.35">
      <c r="A3" s="1" t="s">
        <v>56</v>
      </c>
      <c r="B3" s="1" t="s">
        <v>67</v>
      </c>
      <c r="C3" s="1">
        <v>7</v>
      </c>
      <c r="D3" s="1">
        <v>770</v>
      </c>
      <c r="E3" s="7">
        <v>0</v>
      </c>
      <c r="F3" s="5">
        <v>0</v>
      </c>
      <c r="G3" s="1">
        <v>0</v>
      </c>
    </row>
    <row r="4" spans="1:7" x14ac:dyDescent="0.35">
      <c r="A4" s="1" t="s">
        <v>57</v>
      </c>
      <c r="B4" s="1" t="s">
        <v>66</v>
      </c>
      <c r="C4" s="1">
        <v>7.2</v>
      </c>
      <c r="D4" s="1">
        <v>723</v>
      </c>
      <c r="E4" s="7">
        <v>0</v>
      </c>
      <c r="F4" s="5">
        <v>0</v>
      </c>
      <c r="G4" s="1">
        <v>0.75</v>
      </c>
    </row>
    <row r="5" spans="1:7" x14ac:dyDescent="0.35">
      <c r="A5" s="1" t="s">
        <v>51</v>
      </c>
      <c r="B5" s="1" t="s">
        <v>52</v>
      </c>
      <c r="C5" s="1">
        <v>0</v>
      </c>
      <c r="D5" s="1">
        <v>700</v>
      </c>
      <c r="E5" s="6">
        <v>0.25</v>
      </c>
      <c r="F5" s="5">
        <v>52</v>
      </c>
      <c r="G5" s="1">
        <v>0.96</v>
      </c>
    </row>
    <row r="6" spans="1:7" x14ac:dyDescent="0.35">
      <c r="A6" s="1" t="s">
        <v>54</v>
      </c>
      <c r="B6" s="1" t="s">
        <v>68</v>
      </c>
      <c r="C6" s="1">
        <v>7</v>
      </c>
      <c r="D6" s="1">
        <v>710</v>
      </c>
      <c r="E6" s="7">
        <v>0.3</v>
      </c>
      <c r="F6" s="5">
        <v>54</v>
      </c>
      <c r="G6" s="1">
        <v>0.76</v>
      </c>
    </row>
    <row r="7" spans="1:7" x14ac:dyDescent="0.35">
      <c r="A7" s="1" t="s">
        <v>54</v>
      </c>
      <c r="B7" s="1" t="s">
        <v>52</v>
      </c>
      <c r="C7" s="1">
        <v>11</v>
      </c>
      <c r="D7" s="1">
        <v>700</v>
      </c>
      <c r="E7" s="6">
        <v>0.3</v>
      </c>
      <c r="F7" s="5">
        <v>54</v>
      </c>
      <c r="G7" s="1">
        <v>1.2</v>
      </c>
    </row>
    <row r="8" spans="1:7" x14ac:dyDescent="0.35">
      <c r="A8" s="1" t="s">
        <v>58</v>
      </c>
      <c r="B8" s="1" t="s">
        <v>52</v>
      </c>
      <c r="C8" s="1">
        <v>7</v>
      </c>
      <c r="D8" s="1">
        <v>650</v>
      </c>
      <c r="E8" s="6">
        <v>0.4</v>
      </c>
      <c r="F8" s="5">
        <v>54</v>
      </c>
      <c r="G8" s="1">
        <v>1.1000000000000001</v>
      </c>
    </row>
    <row r="9" spans="1:7" x14ac:dyDescent="0.35">
      <c r="A9" s="1" t="s">
        <v>58</v>
      </c>
      <c r="B9" s="1" t="s">
        <v>52</v>
      </c>
      <c r="C9" s="1">
        <v>7.4</v>
      </c>
      <c r="D9" s="1">
        <v>650</v>
      </c>
      <c r="E9" s="6">
        <v>0.43</v>
      </c>
      <c r="F9" s="5">
        <v>60</v>
      </c>
      <c r="G9" s="1">
        <v>1.2</v>
      </c>
    </row>
    <row r="10" spans="1:7" x14ac:dyDescent="0.35">
      <c r="A10" s="1" t="s">
        <v>58</v>
      </c>
      <c r="B10" s="1" t="s">
        <v>65</v>
      </c>
      <c r="C10" s="1">
        <v>8</v>
      </c>
      <c r="D10" s="1">
        <v>840</v>
      </c>
      <c r="E10" s="7">
        <v>0.56999999999999995</v>
      </c>
      <c r="F10" s="5">
        <v>105</v>
      </c>
      <c r="G10" s="1">
        <v>1</v>
      </c>
    </row>
    <row r="11" spans="1:7" x14ac:dyDescent="0.35">
      <c r="A11" s="1" t="s">
        <v>62</v>
      </c>
      <c r="B11" s="1" t="s">
        <v>63</v>
      </c>
      <c r="C11" s="1">
        <v>8</v>
      </c>
      <c r="D11" s="1">
        <v>715</v>
      </c>
      <c r="E11" s="6">
        <v>0.57999999999999996</v>
      </c>
      <c r="F11" s="5">
        <v>86</v>
      </c>
      <c r="G11" s="1">
        <v>0.8</v>
      </c>
    </row>
    <row r="12" spans="1:7" x14ac:dyDescent="0.35">
      <c r="A12" s="1" t="s">
        <v>85</v>
      </c>
      <c r="B12" s="1" t="s">
        <v>64</v>
      </c>
      <c r="C12" s="1">
        <v>6</v>
      </c>
      <c r="D12" s="1">
        <v>560</v>
      </c>
      <c r="E12" s="7">
        <v>0.59</v>
      </c>
      <c r="F12" s="5">
        <v>72</v>
      </c>
      <c r="G12" s="1">
        <v>0.65</v>
      </c>
    </row>
    <row r="13" spans="1:7" x14ac:dyDescent="0.35">
      <c r="E13" t="s">
        <v>53</v>
      </c>
    </row>
    <row r="17" hidden="1" x14ac:dyDescent="0.35"/>
    <row r="18" hidden="1" x14ac:dyDescent="0.35"/>
    <row r="19" hidden="1" x14ac:dyDescent="0.35"/>
    <row r="20" hidden="1" x14ac:dyDescent="0.35"/>
    <row r="21" hidden="1" x14ac:dyDescent="0.35"/>
    <row r="22" hidden="1" x14ac:dyDescent="0.35"/>
    <row r="23" hidden="1" x14ac:dyDescent="0.35"/>
  </sheetData>
  <pageMargins left="0.7" right="0.7" top="0.75" bottom="0.75" header="0.3" footer="0.3"/>
  <pageSetup orientation="portrait" verticalDpi="0" r:id="rId1"/>
  <headerFooter>
    <oddHeader>&amp;R&amp;"Calibri"&amp;10&amp;K737373Confidential&amp;1#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CRM opportunity</vt:lpstr>
      <vt:lpstr>HB30 waste</vt:lpstr>
      <vt:lpstr>aramid waste</vt:lpstr>
      <vt:lpstr>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Zhi-Yi</dc:creator>
  <cp:lastModifiedBy>Li, Zhi-Yi</cp:lastModifiedBy>
  <dcterms:created xsi:type="dcterms:W3CDTF">2015-06-05T18:17:20Z</dcterms:created>
  <dcterms:modified xsi:type="dcterms:W3CDTF">2021-05-11T03:53:20Z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c79e38c-78b6-44a7-aaf7-caa852587f05_Enabled">
    <vt:lpwstr>true</vt:lpwstr>
  </property>
  <property fmtid="{D5CDD505-2E9C-101B-9397-08002B2CF9AE}" pid="3" name="MSIP_Label_1c79e38c-78b6-44a7-aaf7-caa852587f05_SetDate">
    <vt:lpwstr>2021-05-11T03:53:20Z</vt:lpwstr>
  </property>
  <property fmtid="{D5CDD505-2E9C-101B-9397-08002B2CF9AE}" pid="4" name="MSIP_Label_1c79e38c-78b6-44a7-aaf7-caa852587f05_Method">
    <vt:lpwstr>Privileged</vt:lpwstr>
  </property>
  <property fmtid="{D5CDD505-2E9C-101B-9397-08002B2CF9AE}" pid="5" name="MSIP_Label_1c79e38c-78b6-44a7-aaf7-caa852587f05_Name">
    <vt:lpwstr>1c79e38c-78b6-44a7-aaf7-caa852587f05</vt:lpwstr>
  </property>
  <property fmtid="{D5CDD505-2E9C-101B-9397-08002B2CF9AE}" pid="6" name="MSIP_Label_1c79e38c-78b6-44a7-aaf7-caa852587f05_SiteId">
    <vt:lpwstr>49618402-6ea3-441d-957d-7df8773fee54</vt:lpwstr>
  </property>
  <property fmtid="{D5CDD505-2E9C-101B-9397-08002B2CF9AE}" pid="7" name="MSIP_Label_1c79e38c-78b6-44a7-aaf7-caa852587f05_ActionId">
    <vt:lpwstr>5200954e-1c30-4902-a111-6638496bdfd1</vt:lpwstr>
  </property>
  <property fmtid="{D5CDD505-2E9C-101B-9397-08002B2CF9AE}" pid="8" name="MSIP_Label_1c79e38c-78b6-44a7-aaf7-caa852587f05_ContentBits">
    <vt:lpwstr>1</vt:lpwstr>
  </property>
</Properties>
</file>