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AGE\Desktop\"/>
    </mc:Choice>
  </mc:AlternateContent>
  <xr:revisionPtr revIDLastSave="0" documentId="8_{2C4C05DB-FAE1-452F-9F86-6563330A5CA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VINI HAHAHA" sheetId="5" r:id="rId1"/>
    <sheet name="COMPARAÇÃO" sheetId="1" r:id="rId2"/>
    <sheet name="CONSOLIDADO" sheetId="2" r:id="rId3"/>
    <sheet name="REFINO" sheetId="3" r:id="rId4"/>
    <sheet name="Planilha1" sheetId="4" r:id="rId5"/>
  </sheets>
  <definedNames>
    <definedName name="_xlnm._FilterDatabase" localSheetId="2" hidden="1">CONSOLIDADO!$B$3:$Q$27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7" i="5" l="1"/>
  <c r="K72" i="5" l="1"/>
  <c r="K64" i="5" l="1"/>
  <c r="K63" i="5"/>
  <c r="K65" i="5"/>
  <c r="K67" i="5"/>
  <c r="K62" i="5" l="1"/>
  <c r="K66" i="5" s="1"/>
  <c r="D57" i="5" s="1"/>
  <c r="K71" i="5"/>
  <c r="K73" i="5" s="1"/>
  <c r="G57" i="5" s="1"/>
  <c r="K36" i="5" l="1"/>
  <c r="K37" i="5" l="1"/>
  <c r="K45" i="5"/>
  <c r="K40" i="5"/>
  <c r="K38" i="5"/>
  <c r="K35" i="5" l="1"/>
  <c r="K39" i="5" s="1"/>
  <c r="K41" i="5" s="1"/>
  <c r="D30" i="5" s="1"/>
  <c r="K44" i="5"/>
  <c r="K46" i="5" s="1"/>
  <c r="K47" i="5" s="1"/>
  <c r="G30" i="5" s="1"/>
  <c r="K52" i="5" l="1"/>
  <c r="K53" i="5" s="1"/>
  <c r="G31" i="5" s="1"/>
  <c r="K49" i="5"/>
  <c r="K50" i="5" s="1"/>
  <c r="D31" i="5" s="1"/>
  <c r="K18" i="5" l="1"/>
  <c r="K11" i="5"/>
  <c r="K13" i="5"/>
  <c r="K10" i="5"/>
  <c r="K9" i="5"/>
  <c r="K8" i="5" s="1"/>
  <c r="K22" i="5" l="1"/>
  <c r="K23" i="5" s="1"/>
  <c r="D4" i="5" s="1"/>
  <c r="K12" i="5"/>
  <c r="K14" i="5" s="1"/>
  <c r="D3" i="5" s="1"/>
  <c r="K17" i="5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4" i="3"/>
  <c r="H14" i="2"/>
  <c r="J14" i="2" s="1"/>
  <c r="H12" i="2"/>
  <c r="J12" i="2" s="1"/>
  <c r="H13" i="2"/>
  <c r="J13" i="2" s="1"/>
  <c r="K25" i="5" l="1"/>
  <c r="K26" i="5" s="1"/>
  <c r="G4" i="5" s="1"/>
  <c r="K19" i="5"/>
  <c r="K20" i="5" s="1"/>
  <c r="G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Vinícius</author>
  </authors>
  <commentList>
    <comment ref="B6" authorId="0" shapeId="0" xr:uid="{FDEBE598-9566-416E-8F29-1F6FF2A10DD6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Atributos do personagem (Somar todo o Atributo Base + Bonus)</t>
        </r>
      </text>
    </comment>
    <comment ref="B11" authorId="0" shapeId="0" xr:uid="{1EBEF371-EF2F-4248-ACBD-3E00C129CDC1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Ataque Base do armamento localizado na descrição</t>
        </r>
      </text>
    </comment>
    <comment ref="B12" authorId="0" shapeId="0" xr:uid="{51ED1771-88DC-449F-9B02-99B4E210F5AB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do Refino da Arma</t>
        </r>
      </text>
    </comment>
    <comment ref="B13" authorId="0" shapeId="0" xr:uid="{0EAB40B3-BD84-4CF0-B79B-E0462EA65B2C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Nível da Arma</t>
        </r>
      </text>
    </comment>
    <comment ref="D13" authorId="0" shapeId="0" xr:uid="{D624B762-C0D8-4C72-A323-A4555E4718FA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do Over no Refino utilizado (Atualmente esse campo precisa ser inserido manualmente)</t>
        </r>
      </text>
    </comment>
    <comment ref="B14" authorId="0" shapeId="0" xr:uid="{8039B586-29DD-4A02-9718-0F17D30852AE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da Penalidade de tamanho aplicada a arma (Ex: Adagas tem 50% de penalidade a tamanho grande)
Caso utilize Drake ou Skills que ignoram a penalidade preencher com 100</t>
        </r>
      </text>
    </comment>
    <comment ref="B17" authorId="0" shapeId="0" xr:uid="{59C8F82D-4E48-43BB-AA85-77C5F99E7360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Ataque somado de todo o Equipamento, com exceção da Arma</t>
        </r>
      </text>
    </comment>
    <comment ref="D17" authorId="0" shapeId="0" xr:uid="{59F23B7A-8282-4F0A-B12B-635266F78CB1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contra Raça do Alvo (Ex: Carta Hidra)</t>
        </r>
      </text>
    </comment>
    <comment ref="F17" authorId="0" shapeId="0" xr:uid="{9C32ACE3-F7A0-42AC-95A8-F4ED23E52F15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contra um Alvo Específico (Ex: Casca de Ovo de Verme)</t>
        </r>
      </text>
    </comment>
    <comment ref="H17" authorId="0" shapeId="0" xr:uid="{798EC4AA-4461-42C1-95E8-2F116317D435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de Ataque provindo de skill de Maestria (Ex: Perícia com Katar)</t>
        </r>
      </text>
    </comment>
    <comment ref="B18" authorId="0" shapeId="0" xr:uid="{B5BF898D-B6C0-4803-9583-606CC27ADB99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Ataque extra recebido de efeitos como Investigar</t>
        </r>
      </text>
    </comment>
    <comment ref="D18" authorId="0" shapeId="0" xr:uid="{5AA34BE2-7A6F-4BA1-8D0A-291CB7409589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contra o Tamanho do Alvo (Ex: Carta Esqueleto Operário)</t>
        </r>
      </text>
    </comment>
    <comment ref="F18" authorId="0" shapeId="0" xr:uid="{F39888CD-8203-4CFB-BF2D-D5534F58D39D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Geral (Ex: Encantamentos RWC)</t>
        </r>
      </text>
    </comment>
    <comment ref="H18" authorId="0" shapeId="0" xr:uid="{C6A0D792-26C4-4537-AB07-FDC5351DCB98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de Ataque provindo de Buffs (Poder de Odin)</t>
        </r>
      </text>
    </comment>
    <comment ref="B19" authorId="0" shapeId="0" xr:uid="{AD957B57-D602-47B4-BBEB-AFA70E5FD18F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da Arma (Ex: Bonus do Anel do Capiroto)</t>
        </r>
      </text>
    </comment>
    <comment ref="D19" authorId="0" shapeId="0" xr:uid="{D245B88C-2765-4EA1-ADBF-4B0DE2C32792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contra a Propriedade do Alvo (Ex: Carta Vadon)</t>
        </r>
      </text>
    </comment>
    <comment ref="F19" authorId="0" shapeId="0" xr:uid="{9B6CD82A-0F2C-41FE-A97C-C7A7212603AB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a Monstros do tipo Chefe (Ex: Carta Cavaleiro do Abismo)</t>
        </r>
      </text>
    </comment>
    <comment ref="H19" authorId="0" shapeId="0" xr:uid="{3CA6AA70-5766-4FE7-90F3-13A3D6FF2CAB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de Ataque provindo de Consumíveis (Ex: Bolinho Divino)</t>
        </r>
      </text>
    </comment>
    <comment ref="B22" authorId="0" shapeId="0" xr:uid="{3E6F8DDB-66D5-440F-AFCA-DA1B92BCB226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Dano Crítico </t>
        </r>
      </text>
    </comment>
    <comment ref="E22" authorId="0" shapeId="0" xr:uid="{AC9E8F12-AB5B-4928-930B-7D2D9E7C7C69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Redução da Defesa do Alvo</t>
        </r>
      </text>
    </comment>
    <comment ref="G22" authorId="0" shapeId="0" xr:uid="{D22B588F-A31E-4B04-BEFD-EF3CF81DC672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Modificadores de Dano Final (Ex: Garra Sombria)</t>
        </r>
      </text>
    </comment>
    <comment ref="B23" authorId="0" shapeId="0" xr:uid="{0145C830-9AA2-4695-887A-762A8446BCE4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Dano a Distância</t>
        </r>
      </text>
    </comment>
    <comment ref="E23" authorId="0" shapeId="0" xr:uid="{B6306464-75D6-4600-BF1D-8BA707D70F7F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do dano causado sobre um alvo pela propriedade do seu ataque (Ex: Ataques fogo causam 200% de dano a monstros propriedade Maldito)</t>
        </r>
      </text>
    </comment>
    <comment ref="G23" authorId="0" shapeId="0" xr:uid="{83528F63-1CA1-41D2-BE44-4E2CA266CAA1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Multiplicadores gerais provindos de Skill, como Visão Real</t>
        </r>
      </text>
    </comment>
    <comment ref="B26" authorId="0" shapeId="0" xr:uid="{11F3A096-28CB-402E-85D4-F23DE8E75998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da Defesa do Alvo</t>
        </r>
      </text>
    </comment>
    <comment ref="B33" authorId="0" shapeId="0" xr:uid="{C6EAA09F-AC6B-4F45-86E6-882865152509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Atributos do personagem (Somar todo o Atributo Base + Bonus)</t>
        </r>
      </text>
    </comment>
    <comment ref="B38" authorId="0" shapeId="0" xr:uid="{7EA38477-DCED-49CC-8840-D3CD0F74C112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Ataque Base do armamento localizado na descrição</t>
        </r>
      </text>
    </comment>
    <comment ref="D38" authorId="0" shapeId="0" xr:uid="{0A367611-D341-4658-ADC3-7E64816613DD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Ataque da Munição utilizada (Balas de Canhão não entram nesse campo)</t>
        </r>
      </text>
    </comment>
    <comment ref="B39" authorId="0" shapeId="0" xr:uid="{0B3195B7-8760-4FB2-950F-8264453679EA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do Refino da Arma</t>
        </r>
      </text>
    </comment>
    <comment ref="B40" authorId="0" shapeId="0" xr:uid="{CB4C3014-1267-4DC3-A79B-5E04377EC77C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Nível da Arma</t>
        </r>
      </text>
    </comment>
    <comment ref="D40" authorId="0" shapeId="0" xr:uid="{F0D7F8D0-AB80-4173-9A98-9AB53A28F1D8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do Over no Refino utilizado (Atualmente esse campo precisa ser inserido manualmente)</t>
        </r>
      </text>
    </comment>
    <comment ref="B41" authorId="0" shapeId="0" xr:uid="{2119D0F2-A4F9-404F-BD1C-9BA5718473C1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da Penalidade de tamanho aplicada a arma (Ex: Adagas tem 50% de penalidade a tamanho grande)
Caso utilize Drake ou Skills que ignoram a penalidade preencher com 100</t>
        </r>
      </text>
    </comment>
    <comment ref="B44" authorId="0" shapeId="0" xr:uid="{423586E0-AC12-41E9-BCBB-BBC5A16BB178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Ataque somado de todo o Equipamento, com exceção da Arma</t>
        </r>
      </text>
    </comment>
    <comment ref="D44" authorId="0" shapeId="0" xr:uid="{2C64311A-9B07-4FD0-B452-213FA12BCAB6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contra Raça do Alvo (Ex: Carta Hidra)</t>
        </r>
      </text>
    </comment>
    <comment ref="F44" authorId="0" shapeId="0" xr:uid="{B35F1E3E-1757-4A6E-BBA5-E5348139BA28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contra um Alvo Específico (Ex: Casca de Ovo de Verme)</t>
        </r>
      </text>
    </comment>
    <comment ref="H44" authorId="0" shapeId="0" xr:uid="{A774320E-0143-4139-B029-7F4518BD2E83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de Ataque provindo de skill de Maestria (Ex: Perícia com Katar)</t>
        </r>
      </text>
    </comment>
    <comment ref="B45" authorId="0" shapeId="0" xr:uid="{DBCF968D-D052-4879-9591-807B6B565D83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Ataque extra recebido de efeitos como Investigar</t>
        </r>
      </text>
    </comment>
    <comment ref="D45" authorId="0" shapeId="0" xr:uid="{95745D02-0F06-4CB5-8C27-ACC11708805D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contra o Tamanho do Alvo (Ex: Carta Esqueleto Operário)</t>
        </r>
      </text>
    </comment>
    <comment ref="F45" authorId="0" shapeId="0" xr:uid="{66806C16-ADA3-4DE2-89BF-9775E0493AFA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Geral (Ex: Encantamentos RWC)</t>
        </r>
      </text>
    </comment>
    <comment ref="H45" authorId="0" shapeId="0" xr:uid="{BCCC408F-EF68-435B-BB57-D8CD600A58B7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de Ataque provindo de Buffs (Poder de Odin)</t>
        </r>
      </text>
    </comment>
    <comment ref="B46" authorId="0" shapeId="0" xr:uid="{6BEC4051-F34A-4CEA-A400-29BC75C972BA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da Arma (Ex: Bonus do Anel do Capiroto)</t>
        </r>
      </text>
    </comment>
    <comment ref="D46" authorId="0" shapeId="0" xr:uid="{0863948E-84EE-4629-BC31-6AFB2A43508E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contra a Propriedade do Alvo (Ex: Carta Vadon)</t>
        </r>
      </text>
    </comment>
    <comment ref="F46" authorId="0" shapeId="0" xr:uid="{35FBC9C1-B45A-420E-BCEF-29DDC1A7ADBD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a Monstros do tipo Chefe (Ex: Carta Cavaleiro do Abismo)</t>
        </r>
      </text>
    </comment>
    <comment ref="H46" authorId="0" shapeId="0" xr:uid="{7B13CB45-60D8-47C8-AFBE-135F4DD683B6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de Ataque provindo de Consumíveis (Ex: Bolinho Divino)</t>
        </r>
      </text>
    </comment>
    <comment ref="B49" authorId="0" shapeId="0" xr:uid="{89320D59-573D-4E87-A7BE-54E2A7C0C418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Dano Crítico </t>
        </r>
      </text>
    </comment>
    <comment ref="E49" authorId="0" shapeId="0" xr:uid="{AFE273A4-E2D2-4E48-9E6C-30934BA1E80F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Redução da Defesa do Alvo</t>
        </r>
      </text>
    </comment>
    <comment ref="G49" authorId="0" shapeId="0" xr:uid="{CC022D11-FF09-4E62-A26F-FE5EA70A8467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Modificadores de Dano Final (Ex: Garra Sombria)</t>
        </r>
      </text>
    </comment>
    <comment ref="B50" authorId="0" shapeId="0" xr:uid="{7E0A7C2D-6F75-4F1A-96EB-BA3369AD773F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Dano a Distância</t>
        </r>
      </text>
    </comment>
    <comment ref="E50" authorId="0" shapeId="0" xr:uid="{3024DD4D-B761-40FA-A5B5-BFA1360EAB60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do dano causado sobre um alvo pela propriedade do seu ataque (Ex: Ataques fogo causam 200% de dano a monstros propriedade Maldito)</t>
        </r>
      </text>
    </comment>
    <comment ref="G50" authorId="0" shapeId="0" xr:uid="{BF4B5C3F-7721-449F-A517-1FF50F85AB4A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Multiplicadores gerais provindos de Skill, como Visão Real</t>
        </r>
      </text>
    </comment>
    <comment ref="B53" authorId="0" shapeId="0" xr:uid="{B2FE8405-7E64-4225-A0AE-B4128CD71E8B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da Defesa do Alvo</t>
        </r>
      </text>
    </comment>
    <comment ref="B60" authorId="0" shapeId="0" xr:uid="{F60EB193-A6BA-432B-A9DB-4B3A51159B8E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Atributos do personagem (Somar todo o Atributo Base + Bonus)</t>
        </r>
      </text>
    </comment>
    <comment ref="B65" authorId="0" shapeId="0" xr:uid="{B5F5F017-8072-4A3F-AF8A-02F3166FEB6D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Ataque Mágico Base do armamento (Caso tenha) localizado na descrição</t>
        </r>
      </text>
    </comment>
    <comment ref="B66" authorId="0" shapeId="0" xr:uid="{17808FFB-B57C-449E-8947-16580BD292D6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do Refino da Arma</t>
        </r>
      </text>
    </comment>
    <comment ref="B67" authorId="0" shapeId="0" xr:uid="{E73A0943-C3D8-4474-BACD-3161A9D62B3E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Nível da Arma</t>
        </r>
      </text>
    </comment>
    <comment ref="D67" authorId="0" shapeId="0" xr:uid="{A31E8D33-91D2-4808-8A9F-B73C33190B50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do Over no Refino utilizado (Atualmente esse campo precisa ser inserido manualmente)</t>
        </r>
      </text>
    </comment>
    <comment ref="B71" authorId="0" shapeId="0" xr:uid="{62DA65E7-956D-4E9F-9AFC-FC32692B7A37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Ataque Mágico somado de todo o Equipamento + Descrição da Arma, com exceção do AtkM Base da Arma</t>
        </r>
      </text>
    </comment>
    <comment ref="D71" authorId="0" shapeId="0" xr:uid="{B058B4AA-3A29-4EA9-9725-35148EA1144B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Mágico contra Raça do Alvo (Ex: Carta Zakudan)</t>
        </r>
      </text>
    </comment>
    <comment ref="F71" authorId="0" shapeId="0" xr:uid="{C4F5E436-3FA1-4888-BB47-AE900B6CF497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Mágico contra um Alvo Específico (Ex: Carta Líder Kobold)</t>
        </r>
      </text>
    </comment>
    <comment ref="B72" authorId="0" shapeId="0" xr:uid="{4E306633-D395-4D19-BD29-E48D671CD917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Ataque extra recebido de efeitos como Investigar</t>
        </r>
      </text>
    </comment>
    <comment ref="D72" authorId="0" shapeId="0" xr:uid="{94C94B0A-E88A-4A74-BB3A-A84E42E7C14F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Ataque Mágico % relacionado a Propriedade da Habilidade (Ex: Carta Elvira)</t>
        </r>
      </text>
    </comment>
    <comment ref="F72" authorId="0" shapeId="0" xr:uid="{E41927D3-F4F4-4C15-A520-3735AE642AE0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Mágico Geral (Ex: Encantamentos de Conjuração)</t>
        </r>
      </text>
    </comment>
    <comment ref="H72" authorId="0" shapeId="0" xr:uid="{466F74B4-B20F-4FDC-9B9C-913109EE4F61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de Ataque Mágico provindo de Buffs (Poder de Odin)</t>
        </r>
      </text>
    </comment>
    <comment ref="D73" authorId="0" shapeId="0" xr:uid="{668EC129-C16A-4D2E-9172-00C80281741B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Mágico contra a Propriedade do Alvo (Ex: Fruit Pom Spider Card)</t>
        </r>
      </text>
    </comment>
    <comment ref="F73" authorId="0" shapeId="0" xr:uid="{790609B3-3E8F-4DDF-BC8E-953EF444194B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Ataque Mágico a Monstros do tipo Chefe (Ex: Bonus do Broche da Celine)</t>
        </r>
      </text>
    </comment>
    <comment ref="H73" authorId="0" shapeId="0" xr:uid="{3A743E04-3B9F-4748-992A-6CEBCD1571B0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de Ataque Mágico provindo de Consumíveis (Ex: Bolinho Divino)</t>
        </r>
      </text>
    </comment>
    <comment ref="E76" authorId="0" shapeId="0" xr:uid="{3AE27D38-23CE-401A-8E91-03738DC8BD4D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Porcentagem de Redução da Defesa Mágica do Alvo (Ex: Carta Vesper)</t>
        </r>
      </text>
    </comment>
    <comment ref="G76" authorId="0" shapeId="0" xr:uid="{14E833A8-328F-4F2D-A72E-8F65F644FA9E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Modificadores de Dano Final (Ex: Garra Sombria) ~Nenhum = 0~</t>
        </r>
      </text>
    </comment>
    <comment ref="E77" authorId="0" shapeId="0" xr:uid="{21D100CF-2417-460B-A14C-B681F687DFEF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do dano causado sobre um alvo pela propriedade do seu ataque (Ex: Ataques fogo causam 200% de dano a monstros propriedade Maldito)</t>
        </r>
      </text>
    </comment>
    <comment ref="G77" authorId="0" shapeId="0" xr:uid="{86AA79FB-9DF9-4ABD-A3DB-2B14A876CB91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Multiplicadores gerais provindos de Skill, como Visão Real ~Nenhum = 0~</t>
        </r>
      </text>
    </comment>
    <comment ref="B80" authorId="0" shapeId="0" xr:uid="{C8B4F0BF-0FF6-4A9E-95CB-612C34F2FD69}">
      <text>
        <r>
          <rPr>
            <b/>
            <sz val="9"/>
            <color indexed="81"/>
            <rFont val="Segoe UI"/>
            <charset val="1"/>
          </rPr>
          <t>Vinícius:</t>
        </r>
        <r>
          <rPr>
            <sz val="9"/>
            <color indexed="81"/>
            <rFont val="Segoe UI"/>
            <charset val="1"/>
          </rPr>
          <t xml:space="preserve">
Valor da Defesa Mágica do Alvo</t>
        </r>
      </text>
    </comment>
  </commentList>
</comments>
</file>

<file path=xl/sharedStrings.xml><?xml version="1.0" encoding="utf-8"?>
<sst xmlns="http://schemas.openxmlformats.org/spreadsheetml/2006/main" count="348" uniqueCount="117">
  <si>
    <t>TOPO</t>
  </si>
  <si>
    <t>MEIO</t>
  </si>
  <si>
    <t>BAIXO</t>
  </si>
  <si>
    <t>ARMADURA</t>
  </si>
  <si>
    <t>ARMA</t>
  </si>
  <si>
    <t>CAPA</t>
  </si>
  <si>
    <t>BOTA</t>
  </si>
  <si>
    <t>ACESSÓRIO I</t>
  </si>
  <si>
    <t>ACESSÓRIO II</t>
  </si>
  <si>
    <t>REFINO</t>
  </si>
  <si>
    <t>EQUIPAMENTO</t>
  </si>
  <si>
    <t>CARTA</t>
  </si>
  <si>
    <t>ENCHANT</t>
  </si>
  <si>
    <t>ATAQUE</t>
  </si>
  <si>
    <t>% DE ATAQUE</t>
  </si>
  <si>
    <t>% DE DANO CRÍTICO</t>
  </si>
  <si>
    <t>% DE DANO A DISTÂNCIA</t>
  </si>
  <si>
    <t>% DANO RACIAL</t>
  </si>
  <si>
    <t>% DANO TAMANHO</t>
  </si>
  <si>
    <t>% DANO ELEMENTAL</t>
  </si>
  <si>
    <t>% IGNORAR DEF</t>
  </si>
  <si>
    <t>CAPUZ DE ESQUILO</t>
  </si>
  <si>
    <t>ELMO DE XOGUNATO</t>
  </si>
  <si>
    <t>CHAPÉU CHIQUE COM PENAS</t>
  </si>
  <si>
    <t>TIARA DE OUTONO</t>
  </si>
  <si>
    <t>QUEPE DO CÃO MANDANTE</t>
  </si>
  <si>
    <t>CARTA DE CÔMODO</t>
  </si>
  <si>
    <t>MARCAS DE CÔMODO</t>
  </si>
  <si>
    <t>VESTIDO ABISSAL</t>
  </si>
  <si>
    <t>ARCO ANCESTRAL</t>
  </si>
  <si>
    <t>ARCO DEMONÍACO</t>
  </si>
  <si>
    <t>ARCO GIGANTE</t>
  </si>
  <si>
    <t>FAW</t>
  </si>
  <si>
    <t>BOTAS GIGANTES</t>
  </si>
  <si>
    <t>BOTAS TEMPORAIS AGI</t>
  </si>
  <si>
    <t>BOTAS TEMPORAIS FOR</t>
  </si>
  <si>
    <t>BOTAS TEMPORAIS VIT</t>
  </si>
  <si>
    <t>BOTAS TEMPORAIS INT</t>
  </si>
  <si>
    <t>BOTAS TEMPORAIS DES</t>
  </si>
  <si>
    <t>BOTAS TEMPORAIS SOR</t>
  </si>
  <si>
    <t>ANEL DE ESMERALDA</t>
  </si>
  <si>
    <t>LUVAS DO VIGOR</t>
  </si>
  <si>
    <t>PROTEÇÃO DO GIGANTE</t>
  </si>
  <si>
    <t>GD</t>
  </si>
  <si>
    <t>MOCHILA DA AVENTURA</t>
  </si>
  <si>
    <t>Arma nv. 1</t>
  </si>
  <si>
    <t>Refino</t>
  </si>
  <si>
    <t>Bônus Base</t>
  </si>
  <si>
    <t>NÍVEL</t>
  </si>
  <si>
    <t>Arma nv. 2</t>
  </si>
  <si>
    <t>Arma nv. 3</t>
  </si>
  <si>
    <t>Arma nv. 4</t>
  </si>
  <si>
    <t>Nível</t>
  </si>
  <si>
    <t>CONCATENADO</t>
  </si>
  <si>
    <t>BÔNUS BASE</t>
  </si>
  <si>
    <t>TOTAL DE ATAQUE</t>
  </si>
  <si>
    <t>BÔNUS POR REFINO</t>
  </si>
  <si>
    <t>TAXA</t>
  </si>
  <si>
    <t>↓</t>
  </si>
  <si>
    <t>VARIÁVEL</t>
  </si>
  <si>
    <t>Arco Ancestral</t>
  </si>
  <si>
    <t>DANO A DISTANCIA RESULTADO</t>
  </si>
  <si>
    <t>DANO BÁSICO</t>
  </si>
  <si>
    <t>DANO CRÍTICO</t>
  </si>
  <si>
    <t>MÍNIMO</t>
  </si>
  <si>
    <t>MÁXIMO</t>
  </si>
  <si>
    <t>ATRIBUTOS</t>
  </si>
  <si>
    <t>NÍVEL BASE</t>
  </si>
  <si>
    <t>ATAQUE BASE</t>
  </si>
  <si>
    <t>REFINAMENTO</t>
  </si>
  <si>
    <t>PENALIDADE</t>
  </si>
  <si>
    <t>OVER</t>
  </si>
  <si>
    <t>ATAQUE TOTAL</t>
  </si>
  <si>
    <t>PSEUDO BUFF</t>
  </si>
  <si>
    <t>ARMA %</t>
  </si>
  <si>
    <t>RAÇA %</t>
  </si>
  <si>
    <t>TAMANHO %</t>
  </si>
  <si>
    <t>PROPRIEDADE %</t>
  </si>
  <si>
    <t>MONSTRO %</t>
  </si>
  <si>
    <t>ATAQUE %</t>
  </si>
  <si>
    <t>CHEFE%</t>
  </si>
  <si>
    <t>MAESTRIA</t>
  </si>
  <si>
    <t>BUFFS</t>
  </si>
  <si>
    <t>CONSUMÍVEL</t>
  </si>
  <si>
    <t>MODIFICADORES DE DANO</t>
  </si>
  <si>
    <t>DANO A DISTÂNCIA</t>
  </si>
  <si>
    <t>REDUÇÃO DE DEFESA</t>
  </si>
  <si>
    <t>PROPRIEDADE DO ATAQUE</t>
  </si>
  <si>
    <t>ALVO</t>
  </si>
  <si>
    <t>DEFESA DO ALVO</t>
  </si>
  <si>
    <t>FORÇA</t>
  </si>
  <si>
    <t>AGILIDADE</t>
  </si>
  <si>
    <t>VITALIDADE</t>
  </si>
  <si>
    <t>INTELIGÊNCIA</t>
  </si>
  <si>
    <t>DESTREZA</t>
  </si>
  <si>
    <t>SORTE</t>
  </si>
  <si>
    <t>Celulas extras</t>
  </si>
  <si>
    <t>Atk total:</t>
  </si>
  <si>
    <t>Ataque Status</t>
  </si>
  <si>
    <t>Ataque Extra</t>
  </si>
  <si>
    <t>Multiplicadores</t>
  </si>
  <si>
    <t>Ataque da Arma</t>
  </si>
  <si>
    <t>Defesa Reduzida</t>
  </si>
  <si>
    <t>Reduções</t>
  </si>
  <si>
    <t>Atk total: Over</t>
  </si>
  <si>
    <t>Arma + Over</t>
  </si>
  <si>
    <t>DANO CURTA DISTANCIA RESULTADO</t>
  </si>
  <si>
    <t>Dano Final</t>
  </si>
  <si>
    <t>Multiplicador Geral</t>
  </si>
  <si>
    <t>Munição</t>
  </si>
  <si>
    <t>ATAQUE MÁGICO RESULTADO</t>
  </si>
  <si>
    <t>Atk da arma Over</t>
  </si>
  <si>
    <t>ATAQUE MÁGICO BASE</t>
  </si>
  <si>
    <t>PROP DA SKILL</t>
  </si>
  <si>
    <t>AtkM TOTAL</t>
  </si>
  <si>
    <t>REDUÇÃO DE DEFESA MÁGICA</t>
  </si>
  <si>
    <t>DEFM DO ALVO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</si>
</sst>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w"/>
    </font>
    <font>
      <sz val="22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4" borderId="16" xfId="0" applyFont="1" applyFill="1" applyBorder="1"/>
    <xf numFmtId="0" fontId="7" fillId="4" borderId="17" xfId="0" applyFont="1" applyFill="1" applyBorder="1"/>
    <xf numFmtId="0" fontId="7" fillId="4" borderId="18" xfId="0" applyFont="1" applyFill="1" applyBorder="1"/>
    <xf numFmtId="0" fontId="7" fillId="2" borderId="12" xfId="0" applyFont="1" applyFill="1" applyBorder="1"/>
    <xf numFmtId="0" fontId="6" fillId="3" borderId="0" xfId="0" applyFont="1" applyFill="1"/>
    <xf numFmtId="0" fontId="7" fillId="2" borderId="20" xfId="0" applyFont="1" applyFill="1" applyBorder="1"/>
    <xf numFmtId="0" fontId="6" fillId="3" borderId="10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7" fillId="2" borderId="22" xfId="0" applyFont="1" applyFill="1" applyBorder="1"/>
    <xf numFmtId="0" fontId="6" fillId="3" borderId="1" xfId="0" applyFont="1" applyFill="1" applyBorder="1"/>
    <xf numFmtId="0" fontId="6" fillId="5" borderId="1" xfId="0" applyFont="1" applyFill="1" applyBorder="1"/>
    <xf numFmtId="0" fontId="6" fillId="3" borderId="2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25" xfId="0" applyFont="1" applyFill="1" applyBorder="1"/>
    <xf numFmtId="0" fontId="6" fillId="3" borderId="4" xfId="0" applyFont="1" applyFill="1" applyBorder="1"/>
    <xf numFmtId="0" fontId="6" fillId="3" borderId="27" xfId="0" applyFont="1" applyFill="1" applyBorder="1"/>
    <xf numFmtId="0" fontId="6" fillId="3" borderId="2" xfId="0" applyFont="1" applyFill="1" applyBorder="1"/>
    <xf numFmtId="0" fontId="6" fillId="6" borderId="0" xfId="0" applyFont="1" applyFill="1"/>
    <xf numFmtId="0" fontId="6" fillId="6" borderId="12" xfId="0" applyFont="1" applyFill="1" applyBorder="1"/>
    <xf numFmtId="0" fontId="6" fillId="6" borderId="13" xfId="0" applyFont="1" applyFill="1" applyBorder="1"/>
    <xf numFmtId="0" fontId="7" fillId="7" borderId="22" xfId="0" applyFont="1" applyFill="1" applyBorder="1"/>
    <xf numFmtId="0" fontId="6" fillId="8" borderId="23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1" xfId="0" applyFont="1" applyFill="1" applyBorder="1"/>
    <xf numFmtId="0" fontId="6" fillId="8" borderId="25" xfId="0" applyFont="1" applyFill="1" applyBorder="1"/>
    <xf numFmtId="0" fontId="6" fillId="8" borderId="4" xfId="0" applyFont="1" applyFill="1" applyBorder="1"/>
    <xf numFmtId="0" fontId="6" fillId="8" borderId="2" xfId="0" applyFont="1" applyFill="1" applyBorder="1"/>
    <xf numFmtId="0" fontId="6" fillId="8" borderId="27" xfId="0" applyFont="1" applyFill="1" applyBorder="1"/>
    <xf numFmtId="0" fontId="6" fillId="9" borderId="3" xfId="0" applyFont="1" applyFill="1" applyBorder="1"/>
    <xf numFmtId="0" fontId="6" fillId="9" borderId="1" xfId="0" applyFont="1" applyFill="1" applyBorder="1"/>
    <xf numFmtId="0" fontId="6" fillId="9" borderId="24" xfId="0" applyFont="1" applyFill="1" applyBorder="1"/>
    <xf numFmtId="0" fontId="6" fillId="9" borderId="2" xfId="0" applyFont="1" applyFill="1" applyBorder="1"/>
    <xf numFmtId="0" fontId="6" fillId="9" borderId="26" xfId="0" applyFont="1" applyFill="1" applyBorder="1"/>
    <xf numFmtId="0" fontId="6" fillId="9" borderId="28" xfId="0" applyFont="1" applyFill="1" applyBorder="1"/>
    <xf numFmtId="0" fontId="7" fillId="10" borderId="16" xfId="0" applyFont="1" applyFill="1" applyBorder="1"/>
    <xf numFmtId="0" fontId="7" fillId="10" borderId="17" xfId="0" applyFont="1" applyFill="1" applyBorder="1"/>
    <xf numFmtId="0" fontId="7" fillId="10" borderId="18" xfId="0" applyFont="1" applyFill="1" applyBorder="1"/>
    <xf numFmtId="0" fontId="6" fillId="6" borderId="30" xfId="0" applyFont="1" applyFill="1" applyBorder="1"/>
    <xf numFmtId="0" fontId="6" fillId="6" borderId="29" xfId="0" applyFont="1" applyFill="1" applyBorder="1"/>
    <xf numFmtId="0" fontId="7" fillId="11" borderId="16" xfId="0" applyFont="1" applyFill="1" applyBorder="1"/>
    <xf numFmtId="0" fontId="7" fillId="11" borderId="17" xfId="0" applyFont="1" applyFill="1" applyBorder="1"/>
    <xf numFmtId="0" fontId="7" fillId="11" borderId="18" xfId="0" applyFont="1" applyFill="1" applyBorder="1"/>
    <xf numFmtId="0" fontId="6" fillId="12" borderId="23" xfId="0" applyFont="1" applyFill="1" applyBorder="1" applyAlignment="1">
      <alignment horizontal="center"/>
    </xf>
    <xf numFmtId="0" fontId="6" fillId="12" borderId="11" xfId="0" applyFont="1" applyFill="1" applyBorder="1" applyAlignment="1">
      <alignment horizontal="center"/>
    </xf>
    <xf numFmtId="0" fontId="6" fillId="12" borderId="1" xfId="0" applyFont="1" applyFill="1" applyBorder="1"/>
    <xf numFmtId="0" fontId="6" fillId="12" borderId="10" xfId="0" applyFont="1" applyFill="1" applyBorder="1"/>
    <xf numFmtId="0" fontId="6" fillId="12" borderId="0" xfId="0" applyFont="1" applyFill="1"/>
    <xf numFmtId="0" fontId="6" fillId="12" borderId="4" xfId="0" applyFont="1" applyFill="1" applyBorder="1"/>
    <xf numFmtId="0" fontId="6" fillId="12" borderId="25" xfId="0" applyFont="1" applyFill="1" applyBorder="1"/>
    <xf numFmtId="0" fontId="6" fillId="12" borderId="2" xfId="0" applyFont="1" applyFill="1" applyBorder="1"/>
    <xf numFmtId="0" fontId="6" fillId="12" borderId="27" xfId="0" applyFont="1" applyFill="1" applyBorder="1"/>
    <xf numFmtId="0" fontId="7" fillId="13" borderId="12" xfId="0" applyFont="1" applyFill="1" applyBorder="1"/>
    <xf numFmtId="0" fontId="7" fillId="13" borderId="20" xfId="0" applyFont="1" applyFill="1" applyBorder="1"/>
    <xf numFmtId="0" fontId="7" fillId="13" borderId="22" xfId="0" applyFont="1" applyFill="1" applyBorder="1"/>
    <xf numFmtId="0" fontId="6" fillId="14" borderId="24" xfId="0" applyFont="1" applyFill="1" applyBorder="1"/>
    <xf numFmtId="0" fontId="6" fillId="14" borderId="3" xfId="0" applyFont="1" applyFill="1" applyBorder="1"/>
    <xf numFmtId="0" fontId="6" fillId="14" borderId="10" xfId="0" applyFont="1" applyFill="1" applyBorder="1"/>
    <xf numFmtId="0" fontId="6" fillId="14" borderId="1" xfId="0" applyFont="1" applyFill="1" applyBorder="1"/>
    <xf numFmtId="0" fontId="6" fillId="14" borderId="0" xfId="0" applyFont="1" applyFill="1"/>
    <xf numFmtId="0" fontId="6" fillId="14" borderId="21" xfId="0" applyFont="1" applyFill="1" applyBorder="1"/>
    <xf numFmtId="0" fontId="6" fillId="14" borderId="13" xfId="0" applyFont="1" applyFill="1" applyBorder="1"/>
    <xf numFmtId="0" fontId="6" fillId="14" borderId="26" xfId="0" applyFont="1" applyFill="1" applyBorder="1"/>
    <xf numFmtId="0" fontId="6" fillId="14" borderId="2" xfId="0" applyFont="1" applyFill="1" applyBorder="1"/>
    <xf numFmtId="0" fontId="6" fillId="14" borderId="19" xfId="0" applyFont="1" applyFill="1" applyBorder="1"/>
    <xf numFmtId="0" fontId="6" fillId="14" borderId="28" xfId="0" applyFont="1" applyFill="1" applyBorder="1"/>
    <xf numFmtId="0" fontId="6" fillId="15" borderId="24" xfId="0" applyFont="1" applyFill="1" applyBorder="1"/>
    <xf numFmtId="0" fontId="6" fillId="15" borderId="3" xfId="0" applyFont="1" applyFill="1" applyBorder="1"/>
    <xf numFmtId="0" fontId="6" fillId="15" borderId="10" xfId="0" applyFont="1" applyFill="1" applyBorder="1"/>
    <xf numFmtId="0" fontId="6" fillId="15" borderId="0" xfId="0" applyFont="1" applyFill="1"/>
    <xf numFmtId="0" fontId="6" fillId="15" borderId="21" xfId="0" applyFont="1" applyFill="1" applyBorder="1"/>
    <xf numFmtId="0" fontId="6" fillId="15" borderId="13" xfId="0" applyFont="1" applyFill="1" applyBorder="1"/>
    <xf numFmtId="0" fontId="6" fillId="15" borderId="2" xfId="0" applyFont="1" applyFill="1" applyBorder="1"/>
    <xf numFmtId="0" fontId="6" fillId="15" borderId="1" xfId="0" applyFont="1" applyFill="1" applyBorder="1"/>
    <xf numFmtId="0" fontId="6" fillId="15" borderId="26" xfId="0" applyFont="1" applyFill="1" applyBorder="1"/>
    <xf numFmtId="0" fontId="6" fillId="15" borderId="19" xfId="0" applyFont="1" applyFill="1" applyBorder="1"/>
    <xf numFmtId="0" fontId="6" fillId="15" borderId="28" xfId="0" applyFont="1" applyFill="1" applyBorder="1"/>
    <xf numFmtId="0" fontId="6" fillId="6" borderId="10" xfId="0" applyFont="1" applyFill="1" applyBorder="1"/>
    <xf numFmtId="0" fontId="7" fillId="6" borderId="12" xfId="0" applyFont="1" applyFill="1" applyBorder="1"/>
    <xf numFmtId="0" fontId="6" fillId="6" borderId="20" xfId="0" applyFont="1" applyFill="1" applyBorder="1"/>
    <xf numFmtId="0" fontId="7" fillId="7" borderId="31" xfId="0" applyFont="1" applyFill="1" applyBorder="1"/>
    <xf numFmtId="0" fontId="6" fillId="8" borderId="32" xfId="0" applyFont="1" applyFill="1" applyBorder="1"/>
    <xf numFmtId="0" fontId="6" fillId="9" borderId="32" xfId="0" applyFont="1" applyFill="1" applyBorder="1"/>
    <xf numFmtId="0" fontId="6" fillId="9" borderId="33" xfId="0" applyFont="1" applyFill="1" applyBorder="1"/>
    <xf numFmtId="0" fontId="6" fillId="6" borderId="14" xfId="0" applyFont="1" applyFill="1" applyBorder="1"/>
    <xf numFmtId="0" fontId="6" fillId="6" borderId="15" xfId="0" applyFont="1" applyFill="1" applyBorder="1"/>
    <xf numFmtId="0" fontId="7" fillId="2" borderId="25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13" borderId="25" xfId="0" applyFont="1" applyFill="1" applyBorder="1" applyAlignment="1">
      <alignment horizontal="left"/>
    </xf>
    <xf numFmtId="0" fontId="7" fillId="13" borderId="2" xfId="0" applyFont="1" applyFill="1" applyBorder="1" applyAlignment="1">
      <alignment horizontal="left"/>
    </xf>
    <xf numFmtId="0" fontId="7" fillId="7" borderId="29" xfId="0" applyFont="1" applyFill="1" applyBorder="1" applyAlignment="1">
      <alignment horizontal="left"/>
    </xf>
    <xf numFmtId="0" fontId="7" fillId="7" borderId="3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80"/>
  <sheetViews>
    <sheetView tabSelected="1" topLeftCell="A55" workbookViewId="0">
      <selection activeCell="G65" sqref="G65"/>
    </sheetView>
  </sheetViews>
  <sheetFormatPr defaultColWidth="9.109375" defaultRowHeight="13.8"/>
  <cols>
    <col min="1" max="1" width="15.6640625" style="28" customWidth="1"/>
    <col min="2" max="9" width="15.6640625" style="29" customWidth="1"/>
    <col min="10" max="11" width="15.6640625" style="28" customWidth="1"/>
    <col min="12" max="16384" width="9.109375" style="28"/>
  </cols>
  <sheetData>
    <row r="1" spans="2:11" ht="14.4" thickBot="1"/>
    <row r="2" spans="2:11" ht="14.4" thickBot="1">
      <c r="B2" s="30" t="s">
        <v>106</v>
      </c>
      <c r="C2" s="31"/>
      <c r="D2" s="31"/>
      <c r="E2" s="31"/>
      <c r="F2" s="31"/>
      <c r="G2" s="31"/>
      <c r="H2" s="31"/>
      <c r="I2" s="32"/>
    </row>
    <row r="3" spans="2:11">
      <c r="B3" s="33" t="s">
        <v>62</v>
      </c>
      <c r="C3" s="34" t="s">
        <v>64</v>
      </c>
      <c r="D3" s="99">
        <f>(K14)*(1+H22/100)</f>
        <v>2451.5528541970448</v>
      </c>
      <c r="E3" s="99"/>
      <c r="F3" s="34" t="s">
        <v>65</v>
      </c>
      <c r="G3" s="99">
        <f>(K20)*(1+H22/100)</f>
        <v>2451.5528541970448</v>
      </c>
      <c r="H3" s="99"/>
      <c r="I3" s="101"/>
    </row>
    <row r="4" spans="2:11">
      <c r="B4" s="35" t="s">
        <v>63</v>
      </c>
      <c r="C4" s="36" t="s">
        <v>64</v>
      </c>
      <c r="D4" s="98">
        <f>(K23)*(1.4)*(1+H22/100)</f>
        <v>8580.4349896896547</v>
      </c>
      <c r="E4" s="98"/>
      <c r="F4" s="36" t="s">
        <v>65</v>
      </c>
      <c r="G4" s="98">
        <f>(K26)*(1.4)*(1+H22/100)</f>
        <v>8580.4349896896547</v>
      </c>
      <c r="H4" s="98"/>
      <c r="I4" s="100"/>
    </row>
    <row r="5" spans="2:11">
      <c r="B5" s="49"/>
      <c r="C5" s="48"/>
      <c r="D5" s="48"/>
      <c r="E5" s="48"/>
      <c r="F5" s="48"/>
      <c r="G5" s="48"/>
      <c r="H5" s="48"/>
      <c r="I5" s="50"/>
    </row>
    <row r="6" spans="2:11">
      <c r="B6" s="39" t="s">
        <v>66</v>
      </c>
      <c r="C6" s="40" t="s">
        <v>67</v>
      </c>
      <c r="D6" s="41">
        <v>175</v>
      </c>
      <c r="E6" s="48"/>
      <c r="F6" s="48"/>
      <c r="G6" s="48"/>
      <c r="H6" s="48"/>
      <c r="I6" s="50"/>
    </row>
    <row r="7" spans="2:11">
      <c r="B7" s="42" t="s">
        <v>90</v>
      </c>
      <c r="C7" s="43" t="s">
        <v>91</v>
      </c>
      <c r="D7" s="43" t="s">
        <v>92</v>
      </c>
      <c r="E7" s="43" t="s">
        <v>93</v>
      </c>
      <c r="F7" s="43" t="s">
        <v>94</v>
      </c>
      <c r="G7" s="43" t="s">
        <v>95</v>
      </c>
      <c r="H7" s="48"/>
      <c r="I7" s="50"/>
      <c r="J7" s="28" t="s">
        <v>96</v>
      </c>
    </row>
    <row r="8" spans="2:11">
      <c r="B8" s="96">
        <v>1</v>
      </c>
      <c r="C8" s="97">
        <v>1</v>
      </c>
      <c r="D8" s="97">
        <v>1</v>
      </c>
      <c r="E8" s="97">
        <v>1</v>
      </c>
      <c r="F8" s="97">
        <v>1</v>
      </c>
      <c r="G8" s="97">
        <v>1</v>
      </c>
      <c r="H8" s="48"/>
      <c r="I8" s="50"/>
      <c r="J8" s="28" t="s">
        <v>97</v>
      </c>
      <c r="K8" s="28">
        <f>((K9*2)+K11+K10+I17+I18)</f>
        <v>3870.0342205729175</v>
      </c>
    </row>
    <row r="9" spans="2:11">
      <c r="B9" s="49"/>
      <c r="C9" s="48"/>
      <c r="D9" s="48"/>
      <c r="E9" s="48"/>
      <c r="F9" s="48"/>
      <c r="G9" s="48"/>
      <c r="H9" s="48"/>
      <c r="I9" s="50"/>
      <c r="J9" s="28" t="s">
        <v>98</v>
      </c>
      <c r="K9" s="28">
        <f>((D6/4)+B8+(F8/5)+(G8/3))</f>
        <v>45.283333333333339</v>
      </c>
    </row>
    <row r="10" spans="2:11">
      <c r="B10" s="39" t="s">
        <v>4</v>
      </c>
      <c r="C10" s="48"/>
      <c r="D10" s="48"/>
      <c r="E10" s="48"/>
      <c r="F10" s="48"/>
      <c r="G10" s="48"/>
      <c r="H10" s="48"/>
      <c r="I10" s="50"/>
      <c r="J10" s="28" t="s">
        <v>99</v>
      </c>
      <c r="K10" s="28">
        <f>((C17+I19+C18)*((1+E17/100)*(1+E18/100)*(1+E19/100)*(1+G17/100)*(1+G18/100)*(1+G19/100)*(1+F23/100)))</f>
        <v>2445.712500000001</v>
      </c>
    </row>
    <row r="11" spans="2:11">
      <c r="B11" s="44" t="s">
        <v>68</v>
      </c>
      <c r="C11" s="102">
        <v>170</v>
      </c>
      <c r="D11" s="48"/>
      <c r="E11" s="48"/>
      <c r="F11" s="48"/>
      <c r="G11" s="48"/>
      <c r="H11" s="48"/>
      <c r="I11" s="50"/>
      <c r="J11" s="28" t="s">
        <v>101</v>
      </c>
      <c r="K11" s="28">
        <f>(((C11+(0.05*C13*C11)+(C11*(B8/200))+((C13*C12)+((C13-1)*C12)))*C14/100)*((1+C19/100)*(1+E17/100)*(1+E18/100)*(1+E19/100)*(1+G17/100)*(1+G18/100)*(1+G19/100)*(1+F23/100)))</f>
        <v>1303.7550539062502</v>
      </c>
    </row>
    <row r="12" spans="2:11">
      <c r="B12" s="44" t="s">
        <v>69</v>
      </c>
      <c r="C12" s="102">
        <v>14</v>
      </c>
      <c r="D12" s="48"/>
      <c r="E12" s="48"/>
      <c r="F12" s="48"/>
      <c r="G12" s="48"/>
      <c r="H12" s="48"/>
      <c r="I12" s="50"/>
      <c r="J12" s="28" t="s">
        <v>100</v>
      </c>
      <c r="K12" s="28">
        <f>((K8*(1+H23/100)))</f>
        <v>4257.03764263021</v>
      </c>
    </row>
    <row r="13" spans="2:11">
      <c r="B13" s="44" t="s">
        <v>48</v>
      </c>
      <c r="C13" s="105">
        <v>4</v>
      </c>
      <c r="D13" s="45" t="s">
        <v>71</v>
      </c>
      <c r="E13" s="102">
        <v>0</v>
      </c>
      <c r="F13" s="48"/>
      <c r="G13" s="48"/>
      <c r="H13" s="48"/>
      <c r="I13" s="50"/>
      <c r="J13" s="28" t="s">
        <v>102</v>
      </c>
      <c r="K13" s="28">
        <f>(C26-(C26*(F22/100)))</f>
        <v>450</v>
      </c>
    </row>
    <row r="14" spans="2:11">
      <c r="B14" s="44" t="s">
        <v>70</v>
      </c>
      <c r="C14" s="102">
        <v>75</v>
      </c>
      <c r="D14" s="48"/>
      <c r="E14" s="48"/>
      <c r="F14" s="48"/>
      <c r="G14" s="48"/>
      <c r="H14" s="48"/>
      <c r="I14" s="50"/>
      <c r="J14" s="28" t="s">
        <v>103</v>
      </c>
      <c r="K14" s="28">
        <f>(K12)*((4000+K13)/(4000+(K13*10)))</f>
        <v>2228.6844129064043</v>
      </c>
    </row>
    <row r="15" spans="2:11">
      <c r="B15" s="49"/>
      <c r="C15" s="48"/>
      <c r="D15" s="48"/>
      <c r="E15" s="48"/>
      <c r="F15" s="48"/>
      <c r="G15" s="48"/>
      <c r="H15" s="48"/>
      <c r="I15" s="50"/>
    </row>
    <row r="16" spans="2:11">
      <c r="B16" s="39" t="s">
        <v>10</v>
      </c>
      <c r="C16" s="48"/>
      <c r="D16" s="48"/>
      <c r="E16" s="48"/>
      <c r="F16" s="48"/>
      <c r="G16" s="48"/>
      <c r="H16" s="48"/>
      <c r="I16" s="50"/>
    </row>
    <row r="17" spans="2:11">
      <c r="B17" s="44" t="s">
        <v>72</v>
      </c>
      <c r="C17" s="102">
        <v>450</v>
      </c>
      <c r="D17" s="45" t="s">
        <v>75</v>
      </c>
      <c r="E17" s="102">
        <v>10</v>
      </c>
      <c r="F17" s="45" t="s">
        <v>78</v>
      </c>
      <c r="G17" s="102">
        <v>0</v>
      </c>
      <c r="H17" s="45" t="s">
        <v>81</v>
      </c>
      <c r="I17" s="104">
        <v>15</v>
      </c>
      <c r="J17" s="28" t="s">
        <v>104</v>
      </c>
      <c r="K17" s="28">
        <f>((K9*2)+K18+K10+I17+I18)</f>
        <v>3870.0342205729175</v>
      </c>
    </row>
    <row r="18" spans="2:11">
      <c r="B18" s="44" t="s">
        <v>73</v>
      </c>
      <c r="C18" s="102">
        <v>25</v>
      </c>
      <c r="D18" s="45" t="s">
        <v>76</v>
      </c>
      <c r="E18" s="102">
        <v>10</v>
      </c>
      <c r="F18" s="45" t="s">
        <v>79</v>
      </c>
      <c r="G18" s="102">
        <v>0</v>
      </c>
      <c r="H18" s="45" t="s">
        <v>82</v>
      </c>
      <c r="I18" s="104">
        <v>15</v>
      </c>
      <c r="J18" s="28" t="s">
        <v>105</v>
      </c>
      <c r="K18" s="28">
        <f>((C11+(0.05*C13*C11)+(C11*(B8/200))+((C13*C12)+((C13-1)*C12))+E13)*C14/100)*((1+C19/100)*(1+E17/100)*(1+E18/100)*(1+E19/100)*(1+G17/100)*(1+G18/100)*(1+G19/100)*(1+F23/100))</f>
        <v>1303.7550539062502</v>
      </c>
    </row>
    <row r="19" spans="2:11">
      <c r="B19" s="44" t="s">
        <v>74</v>
      </c>
      <c r="C19" s="102">
        <v>15</v>
      </c>
      <c r="D19" s="45" t="s">
        <v>77</v>
      </c>
      <c r="E19" s="102">
        <v>10</v>
      </c>
      <c r="F19" s="45" t="s">
        <v>80</v>
      </c>
      <c r="G19" s="102">
        <v>50</v>
      </c>
      <c r="H19" s="45" t="s">
        <v>83</v>
      </c>
      <c r="I19" s="104">
        <v>15</v>
      </c>
      <c r="J19" s="28" t="s">
        <v>100</v>
      </c>
      <c r="K19" s="28">
        <f>((K17*(1+H23/100)))</f>
        <v>4257.03764263021</v>
      </c>
    </row>
    <row r="20" spans="2:11">
      <c r="B20" s="49"/>
      <c r="C20" s="48"/>
      <c r="D20" s="48"/>
      <c r="E20" s="48"/>
      <c r="F20" s="48"/>
      <c r="G20" s="48"/>
      <c r="H20" s="48"/>
      <c r="I20" s="50"/>
      <c r="J20" s="28" t="s">
        <v>103</v>
      </c>
      <c r="K20" s="28">
        <f>(K19)*((4000+K13)/(4000+(K13*10)))</f>
        <v>2228.6844129064043</v>
      </c>
    </row>
    <row r="21" spans="2:11">
      <c r="B21" s="116" t="s">
        <v>84</v>
      </c>
      <c r="C21" s="117"/>
      <c r="D21" s="48"/>
      <c r="E21" s="48"/>
      <c r="F21" s="48"/>
      <c r="G21" s="48"/>
      <c r="H21" s="48"/>
      <c r="I21" s="50"/>
    </row>
    <row r="22" spans="2:11">
      <c r="B22" s="44" t="s">
        <v>63</v>
      </c>
      <c r="C22" s="102">
        <v>150</v>
      </c>
      <c r="D22" s="45" t="s">
        <v>86</v>
      </c>
      <c r="E22" s="47"/>
      <c r="F22" s="102">
        <v>0</v>
      </c>
      <c r="G22" s="45" t="s">
        <v>107</v>
      </c>
      <c r="H22" s="103">
        <v>10</v>
      </c>
      <c r="I22" s="50"/>
      <c r="J22" s="28" t="s">
        <v>100</v>
      </c>
      <c r="K22" s="28">
        <f>((K8*(1+C22/100)*(1+H22/100)))</f>
        <v>10642.594106575523</v>
      </c>
    </row>
    <row r="23" spans="2:11">
      <c r="B23" s="44" t="s">
        <v>85</v>
      </c>
      <c r="C23" s="102">
        <v>0</v>
      </c>
      <c r="D23" s="45" t="s">
        <v>87</v>
      </c>
      <c r="E23" s="47"/>
      <c r="F23" s="102">
        <v>150</v>
      </c>
      <c r="G23" s="40" t="s">
        <v>108</v>
      </c>
      <c r="H23" s="103">
        <v>10</v>
      </c>
      <c r="I23" s="50"/>
      <c r="J23" s="28" t="s">
        <v>103</v>
      </c>
      <c r="K23" s="28">
        <f>(K22)*((4000+K13)/(4000+(K13*10)))</f>
        <v>5571.7110322660092</v>
      </c>
    </row>
    <row r="24" spans="2:11">
      <c r="B24" s="49"/>
      <c r="C24" s="48"/>
      <c r="D24" s="48"/>
      <c r="E24" s="48"/>
      <c r="F24" s="48"/>
      <c r="G24" s="48"/>
      <c r="H24" s="48"/>
      <c r="I24" s="50"/>
    </row>
    <row r="25" spans="2:11">
      <c r="B25" s="39" t="s">
        <v>88</v>
      </c>
      <c r="C25" s="48"/>
      <c r="D25" s="48"/>
      <c r="E25" s="48"/>
      <c r="F25" s="48"/>
      <c r="G25" s="48"/>
      <c r="H25" s="48"/>
      <c r="I25" s="50"/>
      <c r="J25" s="28" t="s">
        <v>100</v>
      </c>
      <c r="K25" s="28">
        <f>((K17*(1+C22/100)*(1+H23/100)))</f>
        <v>10642.594106575523</v>
      </c>
    </row>
    <row r="26" spans="2:11" ht="14.4" thickBot="1">
      <c r="B26" s="46" t="s">
        <v>89</v>
      </c>
      <c r="C26" s="106">
        <v>450</v>
      </c>
      <c r="D26" s="114"/>
      <c r="E26" s="114"/>
      <c r="F26" s="114"/>
      <c r="G26" s="114"/>
      <c r="H26" s="114"/>
      <c r="I26" s="115"/>
      <c r="J26" s="28" t="s">
        <v>103</v>
      </c>
      <c r="K26" s="28">
        <f>(K25)*((4000+K13)/(4000+(K13*10)))</f>
        <v>5571.7110322660092</v>
      </c>
    </row>
    <row r="28" spans="2:11" ht="14.4" thickBot="1"/>
    <row r="29" spans="2:11" ht="14.4" thickBot="1">
      <c r="B29" s="70" t="s">
        <v>61</v>
      </c>
      <c r="C29" s="71"/>
      <c r="D29" s="71"/>
      <c r="E29" s="71"/>
      <c r="F29" s="71"/>
      <c r="G29" s="71"/>
      <c r="H29" s="71"/>
      <c r="I29" s="72"/>
    </row>
    <row r="30" spans="2:11">
      <c r="B30" s="82" t="s">
        <v>62</v>
      </c>
      <c r="C30" s="77" t="s">
        <v>64</v>
      </c>
      <c r="D30" s="89">
        <f>(K41)*(1+H49/100)</f>
        <v>332.35828431372551</v>
      </c>
      <c r="E30" s="89"/>
      <c r="F30" s="77" t="s">
        <v>65</v>
      </c>
      <c r="G30" s="89">
        <f>(K47)*(1+H49/100)</f>
        <v>332.35828431372551</v>
      </c>
      <c r="H30" s="89"/>
      <c r="I30" s="91"/>
    </row>
    <row r="31" spans="2:11">
      <c r="B31" s="83" t="s">
        <v>63</v>
      </c>
      <c r="C31" s="76" t="s">
        <v>64</v>
      </c>
      <c r="D31" s="87">
        <f>(K50)*(1.4)*(1+H49/100)</f>
        <v>465.30159803921566</v>
      </c>
      <c r="E31" s="87"/>
      <c r="F31" s="76" t="s">
        <v>65</v>
      </c>
      <c r="G31" s="87">
        <f>(K53)*(1.4)*(1+H49/100)</f>
        <v>465.30159803921566</v>
      </c>
      <c r="H31" s="87"/>
      <c r="I31" s="90"/>
    </row>
    <row r="32" spans="2:11">
      <c r="B32" s="49"/>
      <c r="C32" s="48"/>
      <c r="D32" s="48"/>
      <c r="E32" s="48"/>
      <c r="F32" s="48"/>
      <c r="G32" s="48"/>
      <c r="H32" s="48"/>
      <c r="I32" s="50"/>
    </row>
    <row r="33" spans="2:11">
      <c r="B33" s="84" t="s">
        <v>66</v>
      </c>
      <c r="C33" s="75" t="s">
        <v>67</v>
      </c>
      <c r="D33" s="88">
        <v>175</v>
      </c>
      <c r="E33" s="48"/>
      <c r="F33" s="48"/>
      <c r="G33" s="48"/>
      <c r="H33" s="48"/>
      <c r="I33" s="50"/>
    </row>
    <row r="34" spans="2:11">
      <c r="B34" s="73" t="s">
        <v>90</v>
      </c>
      <c r="C34" s="74" t="s">
        <v>91</v>
      </c>
      <c r="D34" s="74" t="s">
        <v>92</v>
      </c>
      <c r="E34" s="74" t="s">
        <v>93</v>
      </c>
      <c r="F34" s="74" t="s">
        <v>94</v>
      </c>
      <c r="G34" s="74" t="s">
        <v>95</v>
      </c>
      <c r="H34" s="48"/>
      <c r="I34" s="50"/>
      <c r="J34" s="28" t="s">
        <v>96</v>
      </c>
    </row>
    <row r="35" spans="2:11">
      <c r="B35" s="85">
        <v>1</v>
      </c>
      <c r="C35" s="86">
        <v>1</v>
      </c>
      <c r="D35" s="86">
        <v>1</v>
      </c>
      <c r="E35" s="86">
        <v>1</v>
      </c>
      <c r="F35" s="86">
        <v>1</v>
      </c>
      <c r="G35" s="86">
        <v>1</v>
      </c>
      <c r="H35" s="48"/>
      <c r="I35" s="50"/>
      <c r="J35" s="28" t="s">
        <v>97</v>
      </c>
      <c r="K35" s="28">
        <f>((K36*2)+K38+K37+I44+I45)*(1+C50/100)</f>
        <v>634.8416666666667</v>
      </c>
    </row>
    <row r="36" spans="2:11">
      <c r="B36" s="49"/>
      <c r="C36" s="48"/>
      <c r="D36" s="48"/>
      <c r="E36" s="48"/>
      <c r="F36" s="48"/>
      <c r="G36" s="48"/>
      <c r="H36" s="48"/>
      <c r="I36" s="50"/>
      <c r="J36" s="28" t="s">
        <v>98</v>
      </c>
      <c r="K36" s="28">
        <f>((D33/4)+F35+(B35/5)+(G35/3))</f>
        <v>45.283333333333339</v>
      </c>
    </row>
    <row r="37" spans="2:11">
      <c r="B37" s="84" t="s">
        <v>4</v>
      </c>
      <c r="C37" s="48"/>
      <c r="D37" s="48"/>
      <c r="E37" s="48"/>
      <c r="F37" s="48"/>
      <c r="G37" s="48"/>
      <c r="H37" s="48"/>
      <c r="I37" s="50"/>
      <c r="J37" s="28" t="s">
        <v>99</v>
      </c>
      <c r="K37" s="28">
        <f>((C44+I46+E38+C45)*((1+E44/100)*(1+E45/100)*(1+E46/100)*(1+G44/100)*(1+G45/100)*(1+G46/100)*(1+F50/100)))</f>
        <v>90</v>
      </c>
    </row>
    <row r="38" spans="2:11">
      <c r="B38" s="79" t="s">
        <v>68</v>
      </c>
      <c r="C38" s="94">
        <v>170</v>
      </c>
      <c r="D38" s="75" t="s">
        <v>109</v>
      </c>
      <c r="E38" s="88">
        <v>45</v>
      </c>
      <c r="F38" s="48"/>
      <c r="G38" s="48"/>
      <c r="H38" s="48"/>
      <c r="I38" s="50"/>
      <c r="J38" s="28" t="s">
        <v>101</v>
      </c>
      <c r="K38" s="28">
        <f>(((C38+(0.05*C40*C38)+(C38*(B35/200))+((C40*C39)+((C40-1)*C39)))*C41/100)*((1+C46/100)*(1+E44/100)*(1+E45/100)*(1+E46/100)*(1+G44/100)*(1+G45/100)*(1+G46/100)*(1+F50/100)))</f>
        <v>454.27499999999998</v>
      </c>
    </row>
    <row r="39" spans="2:11">
      <c r="B39" s="79" t="s">
        <v>69</v>
      </c>
      <c r="C39" s="93">
        <v>14</v>
      </c>
      <c r="D39" s="48"/>
      <c r="E39" s="48"/>
      <c r="F39" s="48"/>
      <c r="G39" s="48"/>
      <c r="H39" s="48"/>
      <c r="I39" s="50"/>
      <c r="J39" s="28" t="s">
        <v>100</v>
      </c>
      <c r="K39" s="28">
        <f>((K35*(1+H50/100)))</f>
        <v>634.8416666666667</v>
      </c>
    </row>
    <row r="40" spans="2:11">
      <c r="B40" s="79" t="s">
        <v>48</v>
      </c>
      <c r="C40" s="94">
        <v>4</v>
      </c>
      <c r="D40" s="78" t="s">
        <v>71</v>
      </c>
      <c r="E40" s="93">
        <v>0</v>
      </c>
      <c r="F40" s="48"/>
      <c r="G40" s="48"/>
      <c r="H40" s="48"/>
      <c r="I40" s="50"/>
      <c r="J40" s="28" t="s">
        <v>102</v>
      </c>
      <c r="K40" s="28">
        <f>(C53-(C53*(F49/100)))</f>
        <v>450</v>
      </c>
    </row>
    <row r="41" spans="2:11">
      <c r="B41" s="79" t="s">
        <v>70</v>
      </c>
      <c r="C41" s="93">
        <v>75</v>
      </c>
      <c r="D41" s="48"/>
      <c r="E41" s="48"/>
      <c r="F41" s="48"/>
      <c r="G41" s="48"/>
      <c r="H41" s="48"/>
      <c r="I41" s="50"/>
      <c r="J41" s="28" t="s">
        <v>103</v>
      </c>
      <c r="K41" s="28">
        <f>(K39)*((4000+K40)/(4000+(K40*10)))</f>
        <v>332.35828431372551</v>
      </c>
    </row>
    <row r="42" spans="2:11">
      <c r="B42" s="49"/>
      <c r="C42" s="48"/>
      <c r="D42" s="48"/>
      <c r="E42" s="48"/>
      <c r="F42" s="48"/>
      <c r="G42" s="48"/>
      <c r="H42" s="48"/>
      <c r="I42" s="50"/>
    </row>
    <row r="43" spans="2:11">
      <c r="B43" s="84" t="s">
        <v>10</v>
      </c>
      <c r="C43" s="48"/>
      <c r="D43" s="48"/>
      <c r="E43" s="48"/>
      <c r="F43" s="48"/>
      <c r="G43" s="48"/>
      <c r="H43" s="48"/>
      <c r="I43" s="50"/>
    </row>
    <row r="44" spans="2:11">
      <c r="B44" s="79" t="s">
        <v>72</v>
      </c>
      <c r="C44" s="93">
        <v>0</v>
      </c>
      <c r="D44" s="78" t="s">
        <v>75</v>
      </c>
      <c r="E44" s="93">
        <v>0</v>
      </c>
      <c r="F44" s="78" t="s">
        <v>78</v>
      </c>
      <c r="G44" s="93">
        <v>0</v>
      </c>
      <c r="H44" s="78" t="s">
        <v>81</v>
      </c>
      <c r="I44" s="92">
        <v>0</v>
      </c>
      <c r="J44" s="28" t="s">
        <v>104</v>
      </c>
      <c r="K44" s="28">
        <f>((K36*2)+K45+K37+I44+I45)*(1+C50/100)</f>
        <v>634.8416666666667</v>
      </c>
    </row>
    <row r="45" spans="2:11">
      <c r="B45" s="79" t="s">
        <v>73</v>
      </c>
      <c r="C45" s="93">
        <v>0</v>
      </c>
      <c r="D45" s="78" t="s">
        <v>76</v>
      </c>
      <c r="E45" s="93">
        <v>0</v>
      </c>
      <c r="F45" s="78" t="s">
        <v>79</v>
      </c>
      <c r="G45" s="93">
        <v>0</v>
      </c>
      <c r="H45" s="78" t="s">
        <v>82</v>
      </c>
      <c r="I45" s="92">
        <v>0</v>
      </c>
      <c r="J45" s="28" t="s">
        <v>105</v>
      </c>
      <c r="K45" s="28">
        <f>((C38+(0.05*C40*C38)+(C38*(B35/200))+((C40*C39)+((C40-1)*C39))+E40)*C41/100)*((1+C46/100)*(1+E44/100)*(1+E45/100)*(1+E46/100)*(1+G44/100)*(1+G45/100)*(1+G46/100)*(1+F50/100))</f>
        <v>454.27499999999998</v>
      </c>
    </row>
    <row r="46" spans="2:11">
      <c r="B46" s="79" t="s">
        <v>74</v>
      </c>
      <c r="C46" s="93">
        <v>0</v>
      </c>
      <c r="D46" s="78" t="s">
        <v>77</v>
      </c>
      <c r="E46" s="93">
        <v>0</v>
      </c>
      <c r="F46" s="78" t="s">
        <v>80</v>
      </c>
      <c r="G46" s="93">
        <v>0</v>
      </c>
      <c r="H46" s="78" t="s">
        <v>83</v>
      </c>
      <c r="I46" s="92">
        <v>0</v>
      </c>
      <c r="J46" s="28" t="s">
        <v>100</v>
      </c>
      <c r="K46" s="28">
        <f>((K44*(1+H50/100)))</f>
        <v>634.8416666666667</v>
      </c>
    </row>
    <row r="47" spans="2:11">
      <c r="B47" s="49"/>
      <c r="C47" s="48"/>
      <c r="D47" s="48"/>
      <c r="E47" s="48"/>
      <c r="F47" s="48"/>
      <c r="G47" s="48"/>
      <c r="H47" s="48"/>
      <c r="I47" s="50"/>
      <c r="J47" s="28" t="s">
        <v>103</v>
      </c>
      <c r="K47" s="28">
        <f>(K46)*((4000+K40)/(4000+(K40*10)))</f>
        <v>332.35828431372551</v>
      </c>
    </row>
    <row r="48" spans="2:11">
      <c r="B48" s="118" t="s">
        <v>84</v>
      </c>
      <c r="C48" s="119"/>
      <c r="D48" s="48"/>
      <c r="E48" s="48"/>
      <c r="F48" s="48"/>
      <c r="G48" s="48"/>
      <c r="H48" s="48"/>
      <c r="I48" s="50"/>
    </row>
    <row r="49" spans="2:11">
      <c r="B49" s="79" t="s">
        <v>63</v>
      </c>
      <c r="C49" s="93">
        <v>0</v>
      </c>
      <c r="D49" s="78" t="s">
        <v>86</v>
      </c>
      <c r="E49" s="80"/>
      <c r="F49" s="93">
        <v>0</v>
      </c>
      <c r="G49" s="78" t="s">
        <v>107</v>
      </c>
      <c r="H49" s="88">
        <v>0</v>
      </c>
      <c r="I49" s="50"/>
      <c r="J49" s="28" t="s">
        <v>100</v>
      </c>
      <c r="K49" s="28">
        <f>((K35*(1+C49/100)*(1+H49/100)))</f>
        <v>634.8416666666667</v>
      </c>
    </row>
    <row r="50" spans="2:11">
      <c r="B50" s="79" t="s">
        <v>85</v>
      </c>
      <c r="C50" s="93">
        <v>0</v>
      </c>
      <c r="D50" s="78" t="s">
        <v>87</v>
      </c>
      <c r="E50" s="80"/>
      <c r="F50" s="93">
        <v>100</v>
      </c>
      <c r="G50" s="75" t="s">
        <v>108</v>
      </c>
      <c r="H50" s="88">
        <v>0</v>
      </c>
      <c r="I50" s="50"/>
      <c r="J50" s="28" t="s">
        <v>103</v>
      </c>
      <c r="K50" s="28">
        <f>(K49)*((4000+K40)/(4000+(K40*10)))</f>
        <v>332.35828431372551</v>
      </c>
    </row>
    <row r="51" spans="2:11">
      <c r="B51" s="49"/>
      <c r="C51" s="48"/>
      <c r="D51" s="48"/>
      <c r="E51" s="48"/>
      <c r="F51" s="48"/>
      <c r="G51" s="48"/>
      <c r="H51" s="48"/>
      <c r="I51" s="50"/>
    </row>
    <row r="52" spans="2:11">
      <c r="B52" s="84" t="s">
        <v>88</v>
      </c>
      <c r="C52" s="48"/>
      <c r="D52" s="48"/>
      <c r="E52" s="48"/>
      <c r="F52" s="48"/>
      <c r="G52" s="48"/>
      <c r="H52" s="48"/>
      <c r="I52" s="50"/>
      <c r="J52" s="28" t="s">
        <v>100</v>
      </c>
      <c r="K52" s="28">
        <f>((K44*(1+C49/100)*(1+H50/100)))</f>
        <v>634.8416666666667</v>
      </c>
    </row>
    <row r="53" spans="2:11" ht="14.4" thickBot="1">
      <c r="B53" s="81" t="s">
        <v>89</v>
      </c>
      <c r="C53" s="95">
        <v>450</v>
      </c>
      <c r="D53" s="114"/>
      <c r="E53" s="114"/>
      <c r="F53" s="114"/>
      <c r="G53" s="114"/>
      <c r="H53" s="114"/>
      <c r="I53" s="115"/>
      <c r="J53" s="28" t="s">
        <v>103</v>
      </c>
      <c r="K53" s="28">
        <f>(K52)*((4000+K40)/(4000+(K40*10)))</f>
        <v>332.35828431372551</v>
      </c>
    </row>
    <row r="55" spans="2:11" ht="14.4" thickBot="1"/>
    <row r="56" spans="2:11" ht="14.4" thickBot="1">
      <c r="B56" s="65" t="s">
        <v>110</v>
      </c>
      <c r="C56" s="66"/>
      <c r="D56" s="66"/>
      <c r="E56" s="66"/>
      <c r="F56" s="66"/>
      <c r="G56" s="66"/>
      <c r="H56" s="66"/>
      <c r="I56" s="67"/>
    </row>
    <row r="57" spans="2:11">
      <c r="B57" s="110" t="s">
        <v>62</v>
      </c>
      <c r="C57" s="111" t="s">
        <v>64</v>
      </c>
      <c r="D57" s="112">
        <f>(K66)*((((1000+K67)/(1000+(K67*10)))))</f>
        <v>369.50393939393933</v>
      </c>
      <c r="E57" s="112"/>
      <c r="F57" s="111" t="s">
        <v>65</v>
      </c>
      <c r="G57" s="112">
        <f>(K73)*((((1000+K67)/(1000+(K67*10)))))</f>
        <v>376.88575757575751</v>
      </c>
      <c r="H57" s="112"/>
      <c r="I57" s="113"/>
    </row>
    <row r="58" spans="2:11">
      <c r="B58" s="108"/>
      <c r="C58" s="48"/>
      <c r="D58" s="48"/>
      <c r="E58" s="48"/>
      <c r="F58" s="48"/>
      <c r="G58" s="48"/>
      <c r="H58" s="48"/>
      <c r="I58" s="50"/>
    </row>
    <row r="59" spans="2:11">
      <c r="B59" s="109"/>
      <c r="C59" s="107"/>
      <c r="D59" s="48"/>
      <c r="E59" s="48"/>
      <c r="F59" s="48"/>
      <c r="G59" s="48"/>
      <c r="H59" s="48"/>
      <c r="I59" s="50"/>
    </row>
    <row r="60" spans="2:11">
      <c r="B60" s="51" t="s">
        <v>66</v>
      </c>
      <c r="C60" s="54" t="s">
        <v>67</v>
      </c>
      <c r="D60" s="60">
        <v>175</v>
      </c>
      <c r="E60" s="48"/>
      <c r="F60" s="48"/>
      <c r="G60" s="48"/>
      <c r="H60" s="48"/>
      <c r="I60" s="50"/>
    </row>
    <row r="61" spans="2:11">
      <c r="B61" s="52" t="s">
        <v>90</v>
      </c>
      <c r="C61" s="53" t="s">
        <v>91</v>
      </c>
      <c r="D61" s="53" t="s">
        <v>92</v>
      </c>
      <c r="E61" s="53" t="s">
        <v>93</v>
      </c>
      <c r="F61" s="53" t="s">
        <v>94</v>
      </c>
      <c r="G61" s="53" t="s">
        <v>95</v>
      </c>
      <c r="H61" s="48"/>
      <c r="I61" s="50"/>
      <c r="J61" s="28" t="s">
        <v>96</v>
      </c>
    </row>
    <row r="62" spans="2:11">
      <c r="B62" s="61">
        <v>1</v>
      </c>
      <c r="C62" s="59">
        <v>1</v>
      </c>
      <c r="D62" s="59">
        <v>1</v>
      </c>
      <c r="E62" s="59">
        <v>1</v>
      </c>
      <c r="F62" s="59">
        <v>1</v>
      </c>
      <c r="G62" s="59">
        <v>1</v>
      </c>
      <c r="H62" s="48"/>
      <c r="I62" s="50"/>
      <c r="J62" s="28" t="s">
        <v>97</v>
      </c>
      <c r="K62" s="28">
        <f>((K63+K65+K64+I72))</f>
        <v>700.7833333333333</v>
      </c>
    </row>
    <row r="63" spans="2:11">
      <c r="B63" s="49"/>
      <c r="C63" s="48"/>
      <c r="D63" s="48"/>
      <c r="E63" s="48"/>
      <c r="F63" s="48"/>
      <c r="G63" s="48"/>
      <c r="H63" s="48"/>
      <c r="I63" s="50"/>
      <c r="J63" s="28" t="s">
        <v>98</v>
      </c>
      <c r="K63" s="28">
        <f>((D60/4)+E62+(E62/2)+(F62/5)+(G62/3))</f>
        <v>45.783333333333339</v>
      </c>
    </row>
    <row r="64" spans="2:11">
      <c r="B64" s="51" t="s">
        <v>4</v>
      </c>
      <c r="C64" s="48"/>
      <c r="D64" s="48"/>
      <c r="E64" s="48"/>
      <c r="F64" s="48"/>
      <c r="G64" s="48"/>
      <c r="H64" s="48"/>
      <c r="I64" s="50"/>
      <c r="J64" s="28" t="s">
        <v>99</v>
      </c>
      <c r="K64" s="28">
        <f>((C71+I73+C72))</f>
        <v>625</v>
      </c>
    </row>
    <row r="65" spans="2:11">
      <c r="B65" s="55" t="s">
        <v>112</v>
      </c>
      <c r="C65" s="62">
        <v>10</v>
      </c>
      <c r="D65" s="48"/>
      <c r="E65" s="48"/>
      <c r="F65" s="48"/>
      <c r="G65" s="48"/>
      <c r="H65" s="48"/>
      <c r="I65" s="50"/>
      <c r="J65" s="28" t="s">
        <v>101</v>
      </c>
      <c r="K65" s="28">
        <f>(((C65+(0.1*C67*(C65+(C66*2.5))+((C67*C66)+((C67-1)*C66))))))</f>
        <v>30</v>
      </c>
    </row>
    <row r="66" spans="2:11">
      <c r="B66" s="55" t="s">
        <v>69</v>
      </c>
      <c r="C66" s="62">
        <v>2</v>
      </c>
      <c r="D66" s="48"/>
      <c r="E66" s="48"/>
      <c r="F66" s="48"/>
      <c r="G66" s="48"/>
      <c r="H66" s="48"/>
      <c r="I66" s="50"/>
      <c r="J66" s="28" t="s">
        <v>100</v>
      </c>
      <c r="K66" s="28">
        <f>(K62)*(1+E71/100)*(1+E73/100)*(1+G71/100)*+(1+G72/100)*(1+F77/100)*(1+E72/100)</f>
        <v>1401.5666666666666</v>
      </c>
    </row>
    <row r="67" spans="2:11">
      <c r="B67" s="55" t="s">
        <v>48</v>
      </c>
      <c r="C67" s="62">
        <v>4</v>
      </c>
      <c r="D67" s="56" t="s">
        <v>71</v>
      </c>
      <c r="E67" s="62">
        <f>IF(C67=1,C66*2,IF(C67=2,C66*3,IF(C67=3,C66*5,C66*7)))</f>
        <v>14</v>
      </c>
      <c r="F67" s="48"/>
      <c r="G67" s="48"/>
      <c r="H67" s="48"/>
      <c r="I67" s="50"/>
      <c r="J67" s="28" t="s">
        <v>102</v>
      </c>
      <c r="K67" s="28">
        <f>(C80-(C80*(F76/100)))</f>
        <v>450</v>
      </c>
    </row>
    <row r="68" spans="2:11">
      <c r="B68" s="49"/>
      <c r="C68" s="48"/>
      <c r="D68" s="48"/>
      <c r="E68" s="48"/>
      <c r="F68" s="48"/>
      <c r="G68" s="48"/>
      <c r="H68" s="48"/>
      <c r="I68" s="50"/>
    </row>
    <row r="69" spans="2:11">
      <c r="B69" s="37"/>
      <c r="C69" s="48"/>
      <c r="D69" s="48"/>
      <c r="E69" s="48"/>
      <c r="F69" s="48"/>
      <c r="G69" s="48"/>
      <c r="H69" s="48"/>
      <c r="I69" s="50"/>
    </row>
    <row r="70" spans="2:11">
      <c r="B70" s="51" t="s">
        <v>10</v>
      </c>
      <c r="C70" s="48"/>
      <c r="D70" s="48"/>
      <c r="E70" s="48"/>
      <c r="F70" s="48"/>
      <c r="G70" s="48"/>
      <c r="H70" s="48"/>
      <c r="I70" s="50"/>
    </row>
    <row r="71" spans="2:11">
      <c r="B71" s="55" t="s">
        <v>114</v>
      </c>
      <c r="C71" s="62">
        <v>600</v>
      </c>
      <c r="D71" s="56" t="s">
        <v>75</v>
      </c>
      <c r="E71" s="62">
        <v>0</v>
      </c>
      <c r="F71" s="56" t="s">
        <v>78</v>
      </c>
      <c r="G71" s="62">
        <v>0</v>
      </c>
      <c r="H71" s="48"/>
      <c r="I71" s="50"/>
      <c r="J71" s="28" t="s">
        <v>104</v>
      </c>
      <c r="K71" s="28">
        <f>((K63)+K72+K64+I72)</f>
        <v>714.7833333333333</v>
      </c>
    </row>
    <row r="72" spans="2:11">
      <c r="B72" s="55" t="s">
        <v>73</v>
      </c>
      <c r="C72" s="62">
        <v>25</v>
      </c>
      <c r="D72" s="56" t="s">
        <v>113</v>
      </c>
      <c r="E72" s="62">
        <v>0</v>
      </c>
      <c r="F72" s="56" t="s">
        <v>79</v>
      </c>
      <c r="G72" s="62">
        <v>0</v>
      </c>
      <c r="H72" s="56" t="s">
        <v>82</v>
      </c>
      <c r="I72" s="63">
        <v>0</v>
      </c>
      <c r="J72" s="28" t="s">
        <v>111</v>
      </c>
      <c r="K72" s="28">
        <f>(((C65+(0.1*C67*(C65+(C66*2.5))+((C67*C66)+((C67-1)*C66)+(E67))))))</f>
        <v>44</v>
      </c>
    </row>
    <row r="73" spans="2:11">
      <c r="B73" s="69"/>
      <c r="C73" s="68"/>
      <c r="D73" s="56" t="s">
        <v>77</v>
      </c>
      <c r="E73" s="62">
        <v>0</v>
      </c>
      <c r="F73" s="56" t="s">
        <v>80</v>
      </c>
      <c r="G73" s="62">
        <v>0</v>
      </c>
      <c r="H73" s="56" t="s">
        <v>83</v>
      </c>
      <c r="I73" s="63">
        <v>0</v>
      </c>
      <c r="J73" s="28" t="s">
        <v>100</v>
      </c>
      <c r="K73" s="28">
        <f>(K71)*(1+E71/100)*(1+E73/100)*(1+G71/100)*+(1+G72/100)*(1+F77/100)*(1+E72/100)</f>
        <v>1429.5666666666666</v>
      </c>
    </row>
    <row r="74" spans="2:11">
      <c r="B74" s="109"/>
      <c r="C74" s="48"/>
      <c r="D74" s="48"/>
      <c r="E74" s="48"/>
      <c r="F74" s="48"/>
      <c r="G74" s="48"/>
      <c r="H74" s="48"/>
      <c r="I74" s="50"/>
    </row>
    <row r="75" spans="2:11">
      <c r="B75" s="120" t="s">
        <v>84</v>
      </c>
      <c r="C75" s="121"/>
      <c r="D75" s="48"/>
      <c r="E75" s="48"/>
      <c r="F75" s="48"/>
      <c r="G75" s="48"/>
      <c r="H75" s="48"/>
      <c r="I75" s="50"/>
    </row>
    <row r="76" spans="2:11">
      <c r="B76" s="49"/>
      <c r="C76" s="48"/>
      <c r="D76" s="56" t="s">
        <v>115</v>
      </c>
      <c r="E76" s="57"/>
      <c r="F76" s="62">
        <v>0</v>
      </c>
      <c r="G76" s="56" t="s">
        <v>107</v>
      </c>
      <c r="H76" s="60">
        <v>0</v>
      </c>
      <c r="I76" s="38"/>
    </row>
    <row r="77" spans="2:11">
      <c r="B77" s="49"/>
      <c r="C77" s="48"/>
      <c r="D77" s="56" t="s">
        <v>87</v>
      </c>
      <c r="E77" s="57"/>
      <c r="F77" s="62">
        <v>100</v>
      </c>
      <c r="G77" s="54" t="s">
        <v>108</v>
      </c>
      <c r="H77" s="60">
        <v>0</v>
      </c>
      <c r="I77" s="50"/>
    </row>
    <row r="78" spans="2:11">
      <c r="B78" s="49"/>
      <c r="C78" s="48"/>
      <c r="D78" s="48"/>
      <c r="E78" s="48"/>
      <c r="F78" s="48"/>
      <c r="G78" s="48"/>
      <c r="H78" s="48"/>
      <c r="I78" s="50"/>
    </row>
    <row r="79" spans="2:11">
      <c r="B79" s="51" t="s">
        <v>88</v>
      </c>
      <c r="C79" s="48"/>
      <c r="D79" s="48"/>
      <c r="E79" s="48"/>
      <c r="F79" s="48"/>
      <c r="G79" s="48"/>
      <c r="H79" s="48"/>
      <c r="I79" s="50"/>
    </row>
    <row r="80" spans="2:11" ht="14.4" thickBot="1">
      <c r="B80" s="58" t="s">
        <v>116</v>
      </c>
      <c r="C80" s="64">
        <v>450</v>
      </c>
      <c r="D80" s="114"/>
      <c r="E80" s="114"/>
      <c r="F80" s="114"/>
      <c r="G80" s="114"/>
      <c r="H80" s="114"/>
      <c r="I80" s="115"/>
    </row>
  </sheetData>
  <mergeCells count="3">
    <mergeCell ref="B21:C21"/>
    <mergeCell ref="B48:C48"/>
    <mergeCell ref="B75:C75"/>
  </mergeCells>
  <dataValidations count="2">
    <dataValidation type="list" allowBlank="1" showInputMessage="1" showErrorMessage="1" sqref="C66" xr:uid="{D5F63A27-A021-4C00-A231-98BFC8471CD6}">
      <formula1>"1, 2, 3, 4, 5, 6, 7, 8, 9, 10, 11, 12, 13, 14, 15, 16, 17, 18, 19, 20"</formula1>
    </dataValidation>
    <dataValidation type="list" allowBlank="1" showInputMessage="1" showErrorMessage="1" sqref="C67" xr:uid="{1B28CC12-282E-4B7F-B051-4D78E46A6F30}">
      <formula1>"1, 2, 3, 4"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1"/>
  <sheetViews>
    <sheetView showGridLines="0" workbookViewId="0">
      <selection sqref="A1:O1048576"/>
    </sheetView>
  </sheetViews>
  <sheetFormatPr defaultColWidth="9.109375" defaultRowHeight="10.199999999999999"/>
  <cols>
    <col min="1" max="1" width="9.109375" style="1"/>
    <col min="2" max="2" width="12.44140625" style="1" bestFit="1" customWidth="1"/>
    <col min="3" max="3" width="12.88671875" style="1" bestFit="1" customWidth="1"/>
    <col min="4" max="4" width="12.88671875" style="1" customWidth="1"/>
    <col min="5" max="5" width="10.6640625" style="1" customWidth="1"/>
    <col min="6" max="6" width="20.6640625" style="1" customWidth="1"/>
    <col min="7" max="7" width="8.6640625" style="1" bestFit="1" customWidth="1"/>
    <col min="8" max="8" width="7.5546875" style="1" customWidth="1"/>
    <col min="9" max="9" width="11.88671875" style="1" customWidth="1"/>
    <col min="10" max="10" width="10.109375" style="1" customWidth="1"/>
    <col min="11" max="11" width="11.6640625" style="1" customWidth="1"/>
    <col min="12" max="12" width="7.6640625" style="1" customWidth="1"/>
    <col min="13" max="13" width="9.44140625" style="1" customWidth="1"/>
    <col min="14" max="14" width="17.5546875" style="1" customWidth="1"/>
    <col min="15" max="15" width="10.6640625" style="1" customWidth="1"/>
    <col min="16" max="16384" width="9.109375" style="1"/>
  </cols>
  <sheetData>
    <row r="2" spans="2:15" ht="45" customHeight="1">
      <c r="B2" s="2"/>
      <c r="C2" s="4" t="s">
        <v>10</v>
      </c>
      <c r="D2" s="4" t="s">
        <v>48</v>
      </c>
      <c r="E2" s="5" t="s">
        <v>9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</row>
    <row r="3" spans="2:15" ht="15" customHeight="1">
      <c r="B3" s="6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ht="15" customHeight="1">
      <c r="B4" s="3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ht="15" customHeight="1">
      <c r="B5" s="3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ht="15" customHeight="1">
      <c r="B6" s="3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ht="15" customHeight="1">
      <c r="B7" s="3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ht="15" customHeight="1">
      <c r="B8" s="3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ht="15" customHeight="1">
      <c r="B9" s="3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ht="15" customHeight="1">
      <c r="B10" s="3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ht="15" customHeight="1">
      <c r="B11" s="3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CONSOLIDADO!$B$3:$B$27</xm:f>
          </x14:formula1>
          <xm:sqref>C3:C11</xm:sqref>
        </x14:dataValidation>
        <x14:dataValidation type="list" allowBlank="1" showInputMessage="1" showErrorMessage="1" xr:uid="{00000000-0002-0000-0100-000001000000}">
          <x14:formula1>
            <xm:f>CONSOLIDADO!#REF!</xm:f>
          </x14:formula1>
          <xm:sqref>D3:E11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28"/>
  <sheetViews>
    <sheetView showGridLines="0" workbookViewId="0">
      <pane ySplit="3" topLeftCell="A4" activePane="bottomLeft" state="frozen"/>
      <selection pane="bottomLeft" activeCell="A3" sqref="A3"/>
    </sheetView>
  </sheetViews>
  <sheetFormatPr defaultColWidth="9.109375" defaultRowHeight="10.199999999999999" outlineLevelCol="1"/>
  <cols>
    <col min="1" max="1" width="9.109375" style="7"/>
    <col min="2" max="2" width="22" style="7" bestFit="1" customWidth="1"/>
    <col min="3" max="3" width="18.6640625" style="7" customWidth="1"/>
    <col min="4" max="4" width="20.44140625" style="7" customWidth="1"/>
    <col min="5" max="5" width="20.6640625" style="7" customWidth="1"/>
    <col min="6" max="6" width="18" style="7" customWidth="1"/>
    <col min="7" max="9" width="20.6640625" style="7" hidden="1" customWidth="1" outlineLevel="1"/>
    <col min="10" max="10" width="20.6640625" style="7" customWidth="1" collapsed="1"/>
    <col min="11" max="11" width="18.44140625" style="7" bestFit="1" customWidth="1"/>
    <col min="12" max="12" width="16.6640625" style="7" bestFit="1" customWidth="1"/>
    <col min="13" max="13" width="18.6640625" style="7" bestFit="1" customWidth="1"/>
    <col min="14" max="16384" width="9.109375" style="7"/>
  </cols>
  <sheetData>
    <row r="3" spans="2:17" ht="45" customHeight="1">
      <c r="B3" s="5" t="s">
        <v>10</v>
      </c>
      <c r="C3" s="4" t="s">
        <v>48</v>
      </c>
      <c r="D3" s="5" t="s">
        <v>9</v>
      </c>
      <c r="E3" s="5" t="s">
        <v>11</v>
      </c>
      <c r="F3" s="5" t="s">
        <v>12</v>
      </c>
      <c r="G3" s="5" t="s">
        <v>13</v>
      </c>
      <c r="H3" s="5" t="s">
        <v>54</v>
      </c>
      <c r="I3" s="5" t="s">
        <v>56</v>
      </c>
      <c r="J3" s="5" t="s">
        <v>55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</row>
    <row r="4" spans="2:17">
      <c r="B4" s="16" t="s">
        <v>21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130</v>
      </c>
      <c r="M4" s="17">
        <v>0</v>
      </c>
      <c r="N4" s="17">
        <v>0</v>
      </c>
      <c r="O4" s="17">
        <v>0</v>
      </c>
      <c r="P4" s="17">
        <v>0</v>
      </c>
      <c r="Q4" s="18">
        <v>70</v>
      </c>
    </row>
    <row r="5" spans="2:17">
      <c r="B5" s="16" t="s">
        <v>22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8">
        <v>0</v>
      </c>
    </row>
    <row r="6" spans="2:17">
      <c r="B6" s="16" t="s">
        <v>23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8">
        <v>0</v>
      </c>
    </row>
    <row r="7" spans="2:17">
      <c r="B7" s="16" t="s">
        <v>24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8">
        <v>0</v>
      </c>
    </row>
    <row r="8" spans="2:17">
      <c r="B8" s="16" t="s">
        <v>25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8">
        <v>0</v>
      </c>
    </row>
    <row r="9" spans="2:17">
      <c r="B9" s="16" t="s">
        <v>26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8">
        <v>0</v>
      </c>
    </row>
    <row r="10" spans="2:17">
      <c r="B10" s="16" t="s">
        <v>27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8">
        <v>0</v>
      </c>
    </row>
    <row r="11" spans="2:17">
      <c r="B11" s="16" t="s">
        <v>28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8">
        <v>0</v>
      </c>
    </row>
    <row r="12" spans="2:17">
      <c r="B12" s="16" t="s">
        <v>29</v>
      </c>
      <c r="C12" s="17">
        <v>0</v>
      </c>
      <c r="D12" s="17">
        <v>11</v>
      </c>
      <c r="E12" s="17">
        <v>0</v>
      </c>
      <c r="F12" s="17">
        <v>0</v>
      </c>
      <c r="G12" s="17">
        <v>180</v>
      </c>
      <c r="H12" s="17" t="str">
        <f>IFERROR(VLOOKUP(CONCATENATE(C12,D12),REFINO!$B$3:$E$83,4,FALSE),"0")</f>
        <v>0</v>
      </c>
      <c r="I12" s="17">
        <v>0</v>
      </c>
      <c r="J12" s="17">
        <f>G12+H12</f>
        <v>180</v>
      </c>
      <c r="K12" s="17">
        <v>0</v>
      </c>
      <c r="L12" s="17">
        <v>0</v>
      </c>
      <c r="M12" s="17">
        <v>12</v>
      </c>
      <c r="N12" s="17">
        <v>0</v>
      </c>
      <c r="O12" s="17">
        <v>0</v>
      </c>
      <c r="P12" s="17">
        <v>0</v>
      </c>
      <c r="Q12" s="18">
        <v>0</v>
      </c>
    </row>
    <row r="13" spans="2:17">
      <c r="B13" s="16" t="s">
        <v>30</v>
      </c>
      <c r="C13" s="17">
        <v>0</v>
      </c>
      <c r="D13" s="17">
        <v>0</v>
      </c>
      <c r="E13" s="17">
        <v>0</v>
      </c>
      <c r="F13" s="17">
        <v>0</v>
      </c>
      <c r="G13" s="17">
        <v>130</v>
      </c>
      <c r="H13" s="17" t="str">
        <f>IFERROR(VLOOKUP(CONCATENATE(C13,D13),REFINO!$B$3:$E$83,4,FALSE),"0")</f>
        <v>0</v>
      </c>
      <c r="I13" s="17">
        <v>0</v>
      </c>
      <c r="J13" s="17">
        <f>G13+H13</f>
        <v>130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8">
        <v>0</v>
      </c>
    </row>
    <row r="14" spans="2:17">
      <c r="B14" s="16" t="s">
        <v>31</v>
      </c>
      <c r="C14" s="17">
        <v>0</v>
      </c>
      <c r="D14" s="17">
        <v>0</v>
      </c>
      <c r="E14" s="17">
        <v>0</v>
      </c>
      <c r="F14" s="17">
        <v>0</v>
      </c>
      <c r="G14" s="17">
        <v>195</v>
      </c>
      <c r="H14" s="17" t="str">
        <f>IFERROR(VLOOKUP(CONCATENATE(C14,D14),REFINO!$B$3:$E$83,4,FALSE),"0")</f>
        <v>0</v>
      </c>
      <c r="I14" s="17">
        <v>0</v>
      </c>
      <c r="J14" s="17">
        <f>G14+H14</f>
        <v>195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8">
        <v>0</v>
      </c>
    </row>
    <row r="15" spans="2:17">
      <c r="B15" s="16" t="s">
        <v>32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8">
        <v>0</v>
      </c>
    </row>
    <row r="16" spans="2:17">
      <c r="B16" s="16" t="s">
        <v>43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8">
        <v>0</v>
      </c>
    </row>
    <row r="17" spans="2:17">
      <c r="B17" s="16" t="s">
        <v>44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8">
        <v>0</v>
      </c>
    </row>
    <row r="18" spans="2:17">
      <c r="B18" s="16" t="s">
        <v>33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8">
        <v>0</v>
      </c>
    </row>
    <row r="19" spans="2:17">
      <c r="B19" s="16" t="s">
        <v>35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8">
        <v>0</v>
      </c>
    </row>
    <row r="20" spans="2:17">
      <c r="B20" s="16" t="s">
        <v>34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8">
        <v>0</v>
      </c>
    </row>
    <row r="21" spans="2:17">
      <c r="B21" s="16" t="s">
        <v>36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8">
        <v>0</v>
      </c>
    </row>
    <row r="22" spans="2:17">
      <c r="B22" s="16" t="s">
        <v>37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8">
        <v>0</v>
      </c>
    </row>
    <row r="23" spans="2:17">
      <c r="B23" s="16" t="s">
        <v>38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8">
        <v>0</v>
      </c>
    </row>
    <row r="24" spans="2:17">
      <c r="B24" s="16" t="s">
        <v>39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8">
        <v>0</v>
      </c>
    </row>
    <row r="25" spans="2:17">
      <c r="B25" s="16" t="s">
        <v>40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8">
        <v>0</v>
      </c>
    </row>
    <row r="26" spans="2:17">
      <c r="B26" s="16" t="s">
        <v>41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8">
        <v>0</v>
      </c>
    </row>
    <row r="27" spans="2:17">
      <c r="B27" s="16" t="s">
        <v>42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8">
        <v>0</v>
      </c>
    </row>
    <row r="28" spans="2:17"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1"/>
    </row>
  </sheetData>
  <autoFilter ref="B3:Q27" xr:uid="{00000000-0009-0000-0000-000002000000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REFINO!$G$4:$G$7</xm:f>
          </x14:formula1>
          <xm:sqref>C4:C27</xm:sqref>
        </x14:dataValidation>
        <x14:dataValidation type="list" allowBlank="1" showInputMessage="1" showErrorMessage="1" xr:uid="{00000000-0002-0000-0200-000001000000}">
          <x14:formula1>
            <xm:f>REFINO!$H$4:$H$23</xm:f>
          </x14:formula1>
          <xm:sqref>D4:D27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3"/>
  <sheetViews>
    <sheetView showGridLines="0" topLeftCell="C1" workbookViewId="0">
      <pane ySplit="3" topLeftCell="A18" activePane="bottomLeft" state="frozen"/>
      <selection activeCell="H1" sqref="H1"/>
      <selection pane="bottomLeft" activeCell="J19" sqref="J19:J24"/>
    </sheetView>
  </sheetViews>
  <sheetFormatPr defaultColWidth="9.109375" defaultRowHeight="10.199999999999999"/>
  <cols>
    <col min="1" max="1" width="9.109375" style="1"/>
    <col min="2" max="2" width="20.6640625" style="1" customWidth="1"/>
    <col min="3" max="5" width="20.6640625" style="8" customWidth="1"/>
    <col min="6" max="6" width="5.6640625" style="8" customWidth="1"/>
    <col min="7" max="8" width="9.109375" style="7"/>
    <col min="9" max="9" width="9.109375" style="1"/>
    <col min="10" max="10" width="22" style="1" bestFit="1" customWidth="1"/>
    <col min="11" max="11" width="10.88671875" style="1" bestFit="1" customWidth="1"/>
    <col min="12" max="13" width="9.109375" style="1"/>
    <col min="14" max="14" width="12.88671875" style="8" customWidth="1"/>
    <col min="15" max="15" width="20.6640625" style="1" customWidth="1"/>
    <col min="16" max="16" width="10.6640625" style="8" customWidth="1"/>
    <col min="17" max="17" width="9.109375" style="8"/>
    <col min="18" max="16384" width="9.109375" style="1"/>
  </cols>
  <sheetData>
    <row r="2" spans="2:17" ht="30" customHeight="1">
      <c r="N2" s="14" t="s">
        <v>10</v>
      </c>
      <c r="O2" s="14" t="s">
        <v>46</v>
      </c>
      <c r="P2" s="14" t="s">
        <v>57</v>
      </c>
      <c r="Q2" s="14" t="s">
        <v>59</v>
      </c>
    </row>
    <row r="3" spans="2:17" ht="30" customHeight="1">
      <c r="B3" s="13" t="s">
        <v>53</v>
      </c>
      <c r="C3" s="13" t="s">
        <v>52</v>
      </c>
      <c r="D3" s="14" t="s">
        <v>46</v>
      </c>
      <c r="E3" s="14" t="s">
        <v>47</v>
      </c>
      <c r="F3" s="15"/>
      <c r="G3" s="14" t="s">
        <v>52</v>
      </c>
      <c r="H3" s="14" t="s">
        <v>46</v>
      </c>
      <c r="J3" s="22" t="s">
        <v>10</v>
      </c>
      <c r="K3" s="5" t="s">
        <v>56</v>
      </c>
      <c r="N3" s="27" t="s">
        <v>60</v>
      </c>
      <c r="O3" s="25" t="s">
        <v>58</v>
      </c>
      <c r="P3" s="27">
        <v>10</v>
      </c>
      <c r="Q3" s="27">
        <v>2</v>
      </c>
    </row>
    <row r="4" spans="2:17">
      <c r="B4" s="9" t="str">
        <f>C4&amp;D4</f>
        <v>Arma nv. 11</v>
      </c>
      <c r="C4" s="9" t="s">
        <v>45</v>
      </c>
      <c r="D4" s="11">
        <v>1</v>
      </c>
      <c r="E4" s="11">
        <v>2</v>
      </c>
      <c r="G4" s="11" t="s">
        <v>45</v>
      </c>
      <c r="H4" s="11">
        <v>1</v>
      </c>
      <c r="J4" s="16" t="s">
        <v>21</v>
      </c>
      <c r="K4" s="23">
        <v>0</v>
      </c>
      <c r="O4" s="26">
        <v>1</v>
      </c>
    </row>
    <row r="5" spans="2:17">
      <c r="B5" s="9" t="str">
        <f t="shared" ref="B5:B68" si="0">C5&amp;D5</f>
        <v>Arma nv. 12</v>
      </c>
      <c r="C5" s="9" t="s">
        <v>45</v>
      </c>
      <c r="D5" s="11">
        <v>2</v>
      </c>
      <c r="E5" s="11">
        <v>4</v>
      </c>
      <c r="G5" s="11" t="s">
        <v>49</v>
      </c>
      <c r="H5" s="11">
        <v>2</v>
      </c>
      <c r="J5" s="16" t="s">
        <v>22</v>
      </c>
      <c r="K5" s="23">
        <v>0</v>
      </c>
      <c r="O5" s="11">
        <v>2</v>
      </c>
    </row>
    <row r="6" spans="2:17">
      <c r="B6" s="9" t="str">
        <f t="shared" si="0"/>
        <v>Arma nv. 13</v>
      </c>
      <c r="C6" s="9" t="s">
        <v>45</v>
      </c>
      <c r="D6" s="11">
        <v>3</v>
      </c>
      <c r="E6" s="11">
        <v>6</v>
      </c>
      <c r="G6" s="11" t="s">
        <v>50</v>
      </c>
      <c r="H6" s="11">
        <v>3</v>
      </c>
      <c r="J6" s="16" t="s">
        <v>23</v>
      </c>
      <c r="K6" s="23">
        <v>0</v>
      </c>
      <c r="O6" s="11">
        <v>3</v>
      </c>
    </row>
    <row r="7" spans="2:17">
      <c r="B7" s="9" t="str">
        <f t="shared" si="0"/>
        <v>Arma nv. 14</v>
      </c>
      <c r="C7" s="9" t="s">
        <v>45</v>
      </c>
      <c r="D7" s="11">
        <v>4</v>
      </c>
      <c r="E7" s="11">
        <v>8</v>
      </c>
      <c r="G7" s="12" t="s">
        <v>51</v>
      </c>
      <c r="H7" s="11">
        <v>4</v>
      </c>
      <c r="J7" s="16" t="s">
        <v>24</v>
      </c>
      <c r="K7" s="23">
        <v>0</v>
      </c>
      <c r="O7" s="11">
        <v>4</v>
      </c>
    </row>
    <row r="8" spans="2:17" ht="14.4">
      <c r="B8" s="9" t="str">
        <f t="shared" si="0"/>
        <v>Arma nv. 15</v>
      </c>
      <c r="C8" s="9" t="s">
        <v>45</v>
      </c>
      <c r="D8" s="11">
        <v>5</v>
      </c>
      <c r="E8" s="11">
        <v>10</v>
      </c>
      <c r="G8"/>
      <c r="H8" s="11">
        <v>5</v>
      </c>
      <c r="J8" s="16" t="s">
        <v>25</v>
      </c>
      <c r="K8" s="23">
        <v>0</v>
      </c>
      <c r="O8" s="11">
        <v>5</v>
      </c>
    </row>
    <row r="9" spans="2:17" ht="14.4">
      <c r="B9" s="9" t="str">
        <f t="shared" si="0"/>
        <v>Arma nv. 16</v>
      </c>
      <c r="C9" s="9" t="s">
        <v>45</v>
      </c>
      <c r="D9" s="11">
        <v>6</v>
      </c>
      <c r="E9" s="11">
        <v>12</v>
      </c>
      <c r="G9"/>
      <c r="H9" s="11">
        <v>6</v>
      </c>
      <c r="J9" s="16" t="s">
        <v>26</v>
      </c>
      <c r="K9" s="23">
        <v>0</v>
      </c>
      <c r="O9" s="11">
        <v>6</v>
      </c>
    </row>
    <row r="10" spans="2:17" ht="14.4">
      <c r="B10" s="9" t="str">
        <f t="shared" si="0"/>
        <v>Arma nv. 17</v>
      </c>
      <c r="C10" s="9" t="s">
        <v>45</v>
      </c>
      <c r="D10" s="11">
        <v>7</v>
      </c>
      <c r="E10" s="11">
        <v>14</v>
      </c>
      <c r="G10"/>
      <c r="H10" s="11">
        <v>7</v>
      </c>
      <c r="J10" s="16" t="s">
        <v>27</v>
      </c>
      <c r="K10" s="23">
        <v>0</v>
      </c>
      <c r="O10" s="11">
        <v>7</v>
      </c>
    </row>
    <row r="11" spans="2:17" ht="14.4">
      <c r="B11" s="9" t="str">
        <f t="shared" si="0"/>
        <v>Arma nv. 18</v>
      </c>
      <c r="C11" s="9" t="s">
        <v>45</v>
      </c>
      <c r="D11" s="11">
        <v>8</v>
      </c>
      <c r="E11" s="11">
        <v>16</v>
      </c>
      <c r="G11"/>
      <c r="H11" s="11">
        <v>8</v>
      </c>
      <c r="J11" s="16" t="s">
        <v>28</v>
      </c>
      <c r="K11" s="23">
        <v>0</v>
      </c>
      <c r="O11" s="11">
        <v>8</v>
      </c>
    </row>
    <row r="12" spans="2:17" ht="14.4">
      <c r="B12" s="9" t="str">
        <f t="shared" si="0"/>
        <v>Arma nv. 19</v>
      </c>
      <c r="C12" s="9" t="s">
        <v>45</v>
      </c>
      <c r="D12" s="11">
        <v>9</v>
      </c>
      <c r="E12" s="11">
        <v>18</v>
      </c>
      <c r="G12"/>
      <c r="H12" s="11">
        <v>9</v>
      </c>
      <c r="J12" s="16" t="s">
        <v>29</v>
      </c>
      <c r="K12" s="23">
        <v>0</v>
      </c>
      <c r="O12" s="11">
        <v>9</v>
      </c>
    </row>
    <row r="13" spans="2:17" ht="14.4">
      <c r="B13" s="9" t="str">
        <f t="shared" si="0"/>
        <v>Arma nv. 110</v>
      </c>
      <c r="C13" s="9" t="s">
        <v>45</v>
      </c>
      <c r="D13" s="11">
        <v>10</v>
      </c>
      <c r="E13" s="11">
        <v>20</v>
      </c>
      <c r="G13"/>
      <c r="H13" s="11">
        <v>10</v>
      </c>
      <c r="J13" s="16" t="s">
        <v>30</v>
      </c>
      <c r="K13" s="23">
        <v>0</v>
      </c>
      <c r="O13" s="11">
        <v>10</v>
      </c>
    </row>
    <row r="14" spans="2:17" ht="14.4">
      <c r="B14" s="9" t="str">
        <f t="shared" si="0"/>
        <v>Arma nv. 111</v>
      </c>
      <c r="C14" s="9" t="s">
        <v>45</v>
      </c>
      <c r="D14" s="11">
        <v>11</v>
      </c>
      <c r="E14" s="11">
        <v>22</v>
      </c>
      <c r="G14"/>
      <c r="H14" s="11">
        <v>11</v>
      </c>
      <c r="J14" s="16" t="s">
        <v>31</v>
      </c>
      <c r="K14" s="23">
        <v>0</v>
      </c>
      <c r="O14" s="11">
        <v>11</v>
      </c>
    </row>
    <row r="15" spans="2:17" ht="14.4">
      <c r="B15" s="9" t="str">
        <f t="shared" si="0"/>
        <v>Arma nv. 112</v>
      </c>
      <c r="C15" s="9" t="s">
        <v>45</v>
      </c>
      <c r="D15" s="11">
        <v>12</v>
      </c>
      <c r="E15" s="11">
        <v>24</v>
      </c>
      <c r="G15"/>
      <c r="H15" s="11">
        <v>12</v>
      </c>
      <c r="J15" s="16" t="s">
        <v>32</v>
      </c>
      <c r="K15" s="23">
        <v>0</v>
      </c>
      <c r="O15" s="11">
        <v>12</v>
      </c>
    </row>
    <row r="16" spans="2:17" ht="14.4">
      <c r="B16" s="9" t="str">
        <f t="shared" si="0"/>
        <v>Arma nv. 113</v>
      </c>
      <c r="C16" s="9" t="s">
        <v>45</v>
      </c>
      <c r="D16" s="11">
        <v>13</v>
      </c>
      <c r="E16" s="11">
        <v>26</v>
      </c>
      <c r="G16"/>
      <c r="H16" s="11">
        <v>13</v>
      </c>
      <c r="J16" s="16" t="s">
        <v>43</v>
      </c>
      <c r="K16" s="23">
        <v>0</v>
      </c>
      <c r="O16" s="11">
        <v>13</v>
      </c>
    </row>
    <row r="17" spans="2:15" ht="14.4">
      <c r="B17" s="9" t="str">
        <f t="shared" si="0"/>
        <v>Arma nv. 114</v>
      </c>
      <c r="C17" s="9" t="s">
        <v>45</v>
      </c>
      <c r="D17" s="11">
        <v>14</v>
      </c>
      <c r="E17" s="11">
        <v>28</v>
      </c>
      <c r="G17"/>
      <c r="H17" s="11">
        <v>14</v>
      </c>
      <c r="J17" s="16" t="s">
        <v>44</v>
      </c>
      <c r="K17" s="23">
        <v>0</v>
      </c>
      <c r="O17" s="11">
        <v>14</v>
      </c>
    </row>
    <row r="18" spans="2:15" ht="14.4">
      <c r="B18" s="9" t="str">
        <f t="shared" si="0"/>
        <v>Arma nv. 115</v>
      </c>
      <c r="C18" s="9" t="s">
        <v>45</v>
      </c>
      <c r="D18" s="11">
        <v>15</v>
      </c>
      <c r="E18" s="11">
        <v>30</v>
      </c>
      <c r="G18"/>
      <c r="H18" s="11">
        <v>15</v>
      </c>
      <c r="J18" s="16" t="s">
        <v>33</v>
      </c>
      <c r="K18" s="23">
        <v>0</v>
      </c>
      <c r="O18" s="11">
        <v>15</v>
      </c>
    </row>
    <row r="19" spans="2:15" ht="14.4">
      <c r="B19" s="9" t="str">
        <f t="shared" si="0"/>
        <v>Arma nv. 116</v>
      </c>
      <c r="C19" s="9" t="s">
        <v>45</v>
      </c>
      <c r="D19" s="11">
        <v>16</v>
      </c>
      <c r="E19" s="11">
        <v>32</v>
      </c>
      <c r="G19"/>
      <c r="H19" s="11">
        <v>16</v>
      </c>
      <c r="J19" s="16" t="s">
        <v>35</v>
      </c>
      <c r="K19" s="23">
        <v>0</v>
      </c>
      <c r="O19" s="11">
        <v>16</v>
      </c>
    </row>
    <row r="20" spans="2:15" ht="14.4">
      <c r="B20" s="9" t="str">
        <f t="shared" si="0"/>
        <v>Arma nv. 117</v>
      </c>
      <c r="C20" s="9" t="s">
        <v>45</v>
      </c>
      <c r="D20" s="11">
        <v>17</v>
      </c>
      <c r="E20" s="11">
        <v>34</v>
      </c>
      <c r="G20"/>
      <c r="H20" s="11">
        <v>17</v>
      </c>
      <c r="J20" s="16" t="s">
        <v>34</v>
      </c>
      <c r="K20" s="23">
        <v>0</v>
      </c>
      <c r="O20" s="11">
        <v>17</v>
      </c>
    </row>
    <row r="21" spans="2:15" ht="14.4">
      <c r="B21" s="9" t="str">
        <f t="shared" si="0"/>
        <v>Arma nv. 118</v>
      </c>
      <c r="C21" s="9" t="s">
        <v>45</v>
      </c>
      <c r="D21" s="11">
        <v>18</v>
      </c>
      <c r="E21" s="11">
        <v>36</v>
      </c>
      <c r="G21"/>
      <c r="H21" s="11">
        <v>18</v>
      </c>
      <c r="J21" s="16" t="s">
        <v>36</v>
      </c>
      <c r="K21" s="23">
        <v>0</v>
      </c>
      <c r="O21" s="11">
        <v>18</v>
      </c>
    </row>
    <row r="22" spans="2:15" ht="14.4">
      <c r="B22" s="9" t="str">
        <f t="shared" si="0"/>
        <v>Arma nv. 119</v>
      </c>
      <c r="C22" s="9" t="s">
        <v>45</v>
      </c>
      <c r="D22" s="11">
        <v>19</v>
      </c>
      <c r="E22" s="11">
        <v>38</v>
      </c>
      <c r="G22"/>
      <c r="H22" s="11">
        <v>19</v>
      </c>
      <c r="J22" s="16" t="s">
        <v>37</v>
      </c>
      <c r="K22" s="23">
        <v>0</v>
      </c>
      <c r="O22" s="11">
        <v>19</v>
      </c>
    </row>
    <row r="23" spans="2:15" ht="14.4">
      <c r="B23" s="9" t="str">
        <f t="shared" si="0"/>
        <v>Arma nv. 120</v>
      </c>
      <c r="C23" s="9" t="s">
        <v>45</v>
      </c>
      <c r="D23" s="11">
        <v>20</v>
      </c>
      <c r="E23" s="11">
        <v>40</v>
      </c>
      <c r="G23"/>
      <c r="H23" s="12">
        <v>20</v>
      </c>
      <c r="J23" s="16" t="s">
        <v>38</v>
      </c>
      <c r="K23" s="23">
        <v>0</v>
      </c>
      <c r="O23" s="12">
        <v>20</v>
      </c>
    </row>
    <row r="24" spans="2:15" ht="14.4">
      <c r="B24" s="9" t="str">
        <f t="shared" si="0"/>
        <v>Arma nv. 21</v>
      </c>
      <c r="C24" s="9" t="s">
        <v>49</v>
      </c>
      <c r="D24" s="11">
        <v>1</v>
      </c>
      <c r="E24" s="11">
        <v>3</v>
      </c>
      <c r="G24"/>
      <c r="J24" s="16" t="s">
        <v>39</v>
      </c>
      <c r="K24" s="23">
        <v>0</v>
      </c>
    </row>
    <row r="25" spans="2:15" ht="14.4">
      <c r="B25" s="9" t="str">
        <f t="shared" si="0"/>
        <v>Arma nv. 22</v>
      </c>
      <c r="C25" s="9" t="s">
        <v>49</v>
      </c>
      <c r="D25" s="11">
        <v>2</v>
      </c>
      <c r="E25" s="11">
        <v>6</v>
      </c>
      <c r="G25"/>
      <c r="J25" s="16" t="s">
        <v>40</v>
      </c>
      <c r="K25" s="23">
        <v>0</v>
      </c>
    </row>
    <row r="26" spans="2:15" ht="14.4">
      <c r="B26" s="9" t="str">
        <f t="shared" si="0"/>
        <v>Arma nv. 23</v>
      </c>
      <c r="C26" s="9" t="s">
        <v>49</v>
      </c>
      <c r="D26" s="11">
        <v>3</v>
      </c>
      <c r="E26" s="11">
        <v>9</v>
      </c>
      <c r="G26"/>
      <c r="J26" s="16" t="s">
        <v>41</v>
      </c>
      <c r="K26" s="23">
        <v>0</v>
      </c>
    </row>
    <row r="27" spans="2:15" ht="14.4">
      <c r="B27" s="9" t="str">
        <f t="shared" si="0"/>
        <v>Arma nv. 24</v>
      </c>
      <c r="C27" s="9" t="s">
        <v>49</v>
      </c>
      <c r="D27" s="11">
        <v>4</v>
      </c>
      <c r="E27" s="11">
        <v>12</v>
      </c>
      <c r="G27"/>
      <c r="J27" s="19" t="s">
        <v>42</v>
      </c>
      <c r="K27" s="24">
        <v>0</v>
      </c>
    </row>
    <row r="28" spans="2:15" ht="14.4">
      <c r="B28" s="9" t="str">
        <f t="shared" si="0"/>
        <v>Arma nv. 25</v>
      </c>
      <c r="C28" s="9" t="s">
        <v>49</v>
      </c>
      <c r="D28" s="11">
        <v>5</v>
      </c>
      <c r="E28" s="11">
        <v>15</v>
      </c>
      <c r="G28"/>
    </row>
    <row r="29" spans="2:15">
      <c r="B29" s="9" t="str">
        <f t="shared" si="0"/>
        <v>Arma nv. 26</v>
      </c>
      <c r="C29" s="9" t="s">
        <v>49</v>
      </c>
      <c r="D29" s="11">
        <v>6</v>
      </c>
      <c r="E29" s="11">
        <v>18</v>
      </c>
    </row>
    <row r="30" spans="2:15">
      <c r="B30" s="9" t="str">
        <f t="shared" si="0"/>
        <v>Arma nv. 27</v>
      </c>
      <c r="C30" s="9" t="s">
        <v>49</v>
      </c>
      <c r="D30" s="11">
        <v>7</v>
      </c>
      <c r="E30" s="11">
        <v>21</v>
      </c>
    </row>
    <row r="31" spans="2:15">
      <c r="B31" s="9" t="str">
        <f t="shared" si="0"/>
        <v>Arma nv. 28</v>
      </c>
      <c r="C31" s="9" t="s">
        <v>49</v>
      </c>
      <c r="D31" s="11">
        <v>8</v>
      </c>
      <c r="E31" s="11">
        <v>24</v>
      </c>
    </row>
    <row r="32" spans="2:15">
      <c r="B32" s="9" t="str">
        <f t="shared" si="0"/>
        <v>Arma nv. 29</v>
      </c>
      <c r="C32" s="9" t="s">
        <v>49</v>
      </c>
      <c r="D32" s="11">
        <v>9</v>
      </c>
      <c r="E32" s="11">
        <v>27</v>
      </c>
    </row>
    <row r="33" spans="2:5">
      <c r="B33" s="9" t="str">
        <f t="shared" si="0"/>
        <v>Arma nv. 210</v>
      </c>
      <c r="C33" s="9" t="s">
        <v>49</v>
      </c>
      <c r="D33" s="11">
        <v>10</v>
      </c>
      <c r="E33" s="11">
        <v>30</v>
      </c>
    </row>
    <row r="34" spans="2:5">
      <c r="B34" s="9" t="str">
        <f t="shared" si="0"/>
        <v>Arma nv. 211</v>
      </c>
      <c r="C34" s="9" t="s">
        <v>49</v>
      </c>
      <c r="D34" s="11">
        <v>11</v>
      </c>
      <c r="E34" s="11">
        <v>33</v>
      </c>
    </row>
    <row r="35" spans="2:5">
      <c r="B35" s="9" t="str">
        <f t="shared" si="0"/>
        <v>Arma nv. 212</v>
      </c>
      <c r="C35" s="9" t="s">
        <v>49</v>
      </c>
      <c r="D35" s="11">
        <v>12</v>
      </c>
      <c r="E35" s="11">
        <v>36</v>
      </c>
    </row>
    <row r="36" spans="2:5">
      <c r="B36" s="9" t="str">
        <f t="shared" si="0"/>
        <v>Arma nv. 213</v>
      </c>
      <c r="C36" s="9" t="s">
        <v>49</v>
      </c>
      <c r="D36" s="11">
        <v>13</v>
      </c>
      <c r="E36" s="11">
        <v>39</v>
      </c>
    </row>
    <row r="37" spans="2:5">
      <c r="B37" s="9" t="str">
        <f t="shared" si="0"/>
        <v>Arma nv. 214</v>
      </c>
      <c r="C37" s="9" t="s">
        <v>49</v>
      </c>
      <c r="D37" s="11">
        <v>14</v>
      </c>
      <c r="E37" s="11">
        <v>42</v>
      </c>
    </row>
    <row r="38" spans="2:5">
      <c r="B38" s="9" t="str">
        <f t="shared" si="0"/>
        <v>Arma nv. 215</v>
      </c>
      <c r="C38" s="9" t="s">
        <v>49</v>
      </c>
      <c r="D38" s="11">
        <v>15</v>
      </c>
      <c r="E38" s="11">
        <v>45</v>
      </c>
    </row>
    <row r="39" spans="2:5">
      <c r="B39" s="9" t="str">
        <f t="shared" si="0"/>
        <v>Arma nv. 216</v>
      </c>
      <c r="C39" s="9" t="s">
        <v>49</v>
      </c>
      <c r="D39" s="11">
        <v>16</v>
      </c>
      <c r="E39" s="11">
        <v>48</v>
      </c>
    </row>
    <row r="40" spans="2:5">
      <c r="B40" s="9" t="str">
        <f t="shared" si="0"/>
        <v>Arma nv. 217</v>
      </c>
      <c r="C40" s="9" t="s">
        <v>49</v>
      </c>
      <c r="D40" s="11">
        <v>17</v>
      </c>
      <c r="E40" s="11">
        <v>51</v>
      </c>
    </row>
    <row r="41" spans="2:5">
      <c r="B41" s="9" t="str">
        <f t="shared" si="0"/>
        <v>Arma nv. 218</v>
      </c>
      <c r="C41" s="9" t="s">
        <v>49</v>
      </c>
      <c r="D41" s="11">
        <v>18</v>
      </c>
      <c r="E41" s="11">
        <v>54</v>
      </c>
    </row>
    <row r="42" spans="2:5">
      <c r="B42" s="9" t="str">
        <f t="shared" si="0"/>
        <v>Arma nv. 219</v>
      </c>
      <c r="C42" s="9" t="s">
        <v>49</v>
      </c>
      <c r="D42" s="11">
        <v>19</v>
      </c>
      <c r="E42" s="11">
        <v>57</v>
      </c>
    </row>
    <row r="43" spans="2:5">
      <c r="B43" s="9" t="str">
        <f t="shared" si="0"/>
        <v>Arma nv. 220</v>
      </c>
      <c r="C43" s="9" t="s">
        <v>49</v>
      </c>
      <c r="D43" s="11">
        <v>20</v>
      </c>
      <c r="E43" s="11">
        <v>60</v>
      </c>
    </row>
    <row r="44" spans="2:5">
      <c r="B44" s="9" t="str">
        <f t="shared" si="0"/>
        <v>Arma nv. 31</v>
      </c>
      <c r="C44" s="9" t="s">
        <v>50</v>
      </c>
      <c r="D44" s="11">
        <v>1</v>
      </c>
      <c r="E44" s="11">
        <v>5</v>
      </c>
    </row>
    <row r="45" spans="2:5">
      <c r="B45" s="9" t="str">
        <f t="shared" si="0"/>
        <v>Arma nv. 32</v>
      </c>
      <c r="C45" s="9" t="s">
        <v>50</v>
      </c>
      <c r="D45" s="11">
        <v>2</v>
      </c>
      <c r="E45" s="11">
        <v>10</v>
      </c>
    </row>
    <row r="46" spans="2:5">
      <c r="B46" s="9" t="str">
        <f t="shared" si="0"/>
        <v>Arma nv. 33</v>
      </c>
      <c r="C46" s="9" t="s">
        <v>50</v>
      </c>
      <c r="D46" s="11">
        <v>3</v>
      </c>
      <c r="E46" s="11">
        <v>15</v>
      </c>
    </row>
    <row r="47" spans="2:5">
      <c r="B47" s="9" t="str">
        <f t="shared" si="0"/>
        <v>Arma nv. 34</v>
      </c>
      <c r="C47" s="9" t="s">
        <v>50</v>
      </c>
      <c r="D47" s="11">
        <v>4</v>
      </c>
      <c r="E47" s="11">
        <v>20</v>
      </c>
    </row>
    <row r="48" spans="2:5">
      <c r="B48" s="9" t="str">
        <f t="shared" si="0"/>
        <v>Arma nv. 35</v>
      </c>
      <c r="C48" s="9" t="s">
        <v>50</v>
      </c>
      <c r="D48" s="11">
        <v>5</v>
      </c>
      <c r="E48" s="11">
        <v>25</v>
      </c>
    </row>
    <row r="49" spans="2:5">
      <c r="B49" s="9" t="str">
        <f t="shared" si="0"/>
        <v>Arma nv. 36</v>
      </c>
      <c r="C49" s="9" t="s">
        <v>50</v>
      </c>
      <c r="D49" s="11">
        <v>6</v>
      </c>
      <c r="E49" s="11">
        <v>30</v>
      </c>
    </row>
    <row r="50" spans="2:5">
      <c r="B50" s="9" t="str">
        <f t="shared" si="0"/>
        <v>Arma nv. 37</v>
      </c>
      <c r="C50" s="9" t="s">
        <v>50</v>
      </c>
      <c r="D50" s="11">
        <v>7</v>
      </c>
      <c r="E50" s="11">
        <v>35</v>
      </c>
    </row>
    <row r="51" spans="2:5">
      <c r="B51" s="9" t="str">
        <f t="shared" si="0"/>
        <v>Arma nv. 38</v>
      </c>
      <c r="C51" s="9" t="s">
        <v>50</v>
      </c>
      <c r="D51" s="11">
        <v>8</v>
      </c>
      <c r="E51" s="11">
        <v>40</v>
      </c>
    </row>
    <row r="52" spans="2:5">
      <c r="B52" s="9" t="str">
        <f t="shared" si="0"/>
        <v>Arma nv. 39</v>
      </c>
      <c r="C52" s="9" t="s">
        <v>50</v>
      </c>
      <c r="D52" s="11">
        <v>9</v>
      </c>
      <c r="E52" s="11">
        <v>45</v>
      </c>
    </row>
    <row r="53" spans="2:5">
      <c r="B53" s="9" t="str">
        <f t="shared" si="0"/>
        <v>Arma nv. 310</v>
      </c>
      <c r="C53" s="9" t="s">
        <v>50</v>
      </c>
      <c r="D53" s="11">
        <v>10</v>
      </c>
      <c r="E53" s="11">
        <v>50</v>
      </c>
    </row>
    <row r="54" spans="2:5">
      <c r="B54" s="9" t="str">
        <f t="shared" si="0"/>
        <v>Arma nv. 311</v>
      </c>
      <c r="C54" s="9" t="s">
        <v>50</v>
      </c>
      <c r="D54" s="11">
        <v>11</v>
      </c>
      <c r="E54" s="11">
        <v>55</v>
      </c>
    </row>
    <row r="55" spans="2:5">
      <c r="B55" s="9" t="str">
        <f t="shared" si="0"/>
        <v>Arma nv. 312</v>
      </c>
      <c r="C55" s="9" t="s">
        <v>50</v>
      </c>
      <c r="D55" s="11">
        <v>12</v>
      </c>
      <c r="E55" s="11">
        <v>60</v>
      </c>
    </row>
    <row r="56" spans="2:5">
      <c r="B56" s="9" t="str">
        <f t="shared" si="0"/>
        <v>Arma nv. 313</v>
      </c>
      <c r="C56" s="9" t="s">
        <v>50</v>
      </c>
      <c r="D56" s="11">
        <v>13</v>
      </c>
      <c r="E56" s="11">
        <v>65</v>
      </c>
    </row>
    <row r="57" spans="2:5">
      <c r="B57" s="9" t="str">
        <f t="shared" si="0"/>
        <v>Arma nv. 314</v>
      </c>
      <c r="C57" s="9" t="s">
        <v>50</v>
      </c>
      <c r="D57" s="11">
        <v>14</v>
      </c>
      <c r="E57" s="11">
        <v>70</v>
      </c>
    </row>
    <row r="58" spans="2:5">
      <c r="B58" s="9" t="str">
        <f t="shared" si="0"/>
        <v>Arma nv. 315</v>
      </c>
      <c r="C58" s="9" t="s">
        <v>50</v>
      </c>
      <c r="D58" s="11">
        <v>15</v>
      </c>
      <c r="E58" s="11">
        <v>75</v>
      </c>
    </row>
    <row r="59" spans="2:5">
      <c r="B59" s="9" t="str">
        <f t="shared" si="0"/>
        <v>Arma nv. 316</v>
      </c>
      <c r="C59" s="9" t="s">
        <v>50</v>
      </c>
      <c r="D59" s="11">
        <v>16</v>
      </c>
      <c r="E59" s="11">
        <v>80</v>
      </c>
    </row>
    <row r="60" spans="2:5">
      <c r="B60" s="9" t="str">
        <f t="shared" si="0"/>
        <v>Arma nv. 317</v>
      </c>
      <c r="C60" s="9" t="s">
        <v>50</v>
      </c>
      <c r="D60" s="11">
        <v>17</v>
      </c>
      <c r="E60" s="11">
        <v>85</v>
      </c>
    </row>
    <row r="61" spans="2:5">
      <c r="B61" s="9" t="str">
        <f t="shared" si="0"/>
        <v>Arma nv. 318</v>
      </c>
      <c r="C61" s="9" t="s">
        <v>50</v>
      </c>
      <c r="D61" s="11">
        <v>18</v>
      </c>
      <c r="E61" s="11">
        <v>90</v>
      </c>
    </row>
    <row r="62" spans="2:5">
      <c r="B62" s="9" t="str">
        <f t="shared" si="0"/>
        <v>Arma nv. 319</v>
      </c>
      <c r="C62" s="9" t="s">
        <v>50</v>
      </c>
      <c r="D62" s="11">
        <v>19</v>
      </c>
      <c r="E62" s="11">
        <v>95</v>
      </c>
    </row>
    <row r="63" spans="2:5">
      <c r="B63" s="9" t="str">
        <f t="shared" si="0"/>
        <v>Arma nv. 320</v>
      </c>
      <c r="C63" s="9" t="s">
        <v>50</v>
      </c>
      <c r="D63" s="11">
        <v>20</v>
      </c>
      <c r="E63" s="11">
        <v>100</v>
      </c>
    </row>
    <row r="64" spans="2:5">
      <c r="B64" s="9" t="str">
        <f t="shared" si="0"/>
        <v>Arma nv. 41</v>
      </c>
      <c r="C64" s="9" t="s">
        <v>51</v>
      </c>
      <c r="D64" s="11">
        <v>1</v>
      </c>
      <c r="E64" s="11">
        <v>7</v>
      </c>
    </row>
    <row r="65" spans="2:5">
      <c r="B65" s="9" t="str">
        <f t="shared" si="0"/>
        <v>Arma nv. 42</v>
      </c>
      <c r="C65" s="9" t="s">
        <v>51</v>
      </c>
      <c r="D65" s="11">
        <v>2</v>
      </c>
      <c r="E65" s="11">
        <v>14</v>
      </c>
    </row>
    <row r="66" spans="2:5">
      <c r="B66" s="9" t="str">
        <f t="shared" si="0"/>
        <v>Arma nv. 43</v>
      </c>
      <c r="C66" s="9" t="s">
        <v>51</v>
      </c>
      <c r="D66" s="11">
        <v>3</v>
      </c>
      <c r="E66" s="11">
        <v>21</v>
      </c>
    </row>
    <row r="67" spans="2:5">
      <c r="B67" s="9" t="str">
        <f t="shared" si="0"/>
        <v>Arma nv. 44</v>
      </c>
      <c r="C67" s="9" t="s">
        <v>51</v>
      </c>
      <c r="D67" s="11">
        <v>4</v>
      </c>
      <c r="E67" s="11">
        <v>28</v>
      </c>
    </row>
    <row r="68" spans="2:5">
      <c r="B68" s="9" t="str">
        <f t="shared" si="0"/>
        <v>Arma nv. 45</v>
      </c>
      <c r="C68" s="9" t="s">
        <v>51</v>
      </c>
      <c r="D68" s="11">
        <v>5</v>
      </c>
      <c r="E68" s="11">
        <v>35</v>
      </c>
    </row>
    <row r="69" spans="2:5">
      <c r="B69" s="9" t="str">
        <f t="shared" ref="B69:B83" si="1">C69&amp;D69</f>
        <v>Arma nv. 46</v>
      </c>
      <c r="C69" s="9" t="s">
        <v>51</v>
      </c>
      <c r="D69" s="11">
        <v>6</v>
      </c>
      <c r="E69" s="11">
        <v>42</v>
      </c>
    </row>
    <row r="70" spans="2:5">
      <c r="B70" s="9" t="str">
        <f t="shared" si="1"/>
        <v>Arma nv. 47</v>
      </c>
      <c r="C70" s="9" t="s">
        <v>51</v>
      </c>
      <c r="D70" s="11">
        <v>7</v>
      </c>
      <c r="E70" s="11">
        <v>49</v>
      </c>
    </row>
    <row r="71" spans="2:5">
      <c r="B71" s="9" t="str">
        <f t="shared" si="1"/>
        <v>Arma nv. 48</v>
      </c>
      <c r="C71" s="9" t="s">
        <v>51</v>
      </c>
      <c r="D71" s="11">
        <v>8</v>
      </c>
      <c r="E71" s="11">
        <v>56</v>
      </c>
    </row>
    <row r="72" spans="2:5">
      <c r="B72" s="9" t="str">
        <f t="shared" si="1"/>
        <v>Arma nv. 49</v>
      </c>
      <c r="C72" s="9" t="s">
        <v>51</v>
      </c>
      <c r="D72" s="11">
        <v>9</v>
      </c>
      <c r="E72" s="11">
        <v>63</v>
      </c>
    </row>
    <row r="73" spans="2:5">
      <c r="B73" s="9" t="str">
        <f t="shared" si="1"/>
        <v>Arma nv. 410</v>
      </c>
      <c r="C73" s="9" t="s">
        <v>51</v>
      </c>
      <c r="D73" s="11">
        <v>10</v>
      </c>
      <c r="E73" s="11">
        <v>70</v>
      </c>
    </row>
    <row r="74" spans="2:5">
      <c r="B74" s="9" t="str">
        <f t="shared" si="1"/>
        <v>Arma nv. 411</v>
      </c>
      <c r="C74" s="9" t="s">
        <v>51</v>
      </c>
      <c r="D74" s="11">
        <v>11</v>
      </c>
      <c r="E74" s="11">
        <v>77</v>
      </c>
    </row>
    <row r="75" spans="2:5">
      <c r="B75" s="9" t="str">
        <f t="shared" si="1"/>
        <v>Arma nv. 412</v>
      </c>
      <c r="C75" s="9" t="s">
        <v>51</v>
      </c>
      <c r="D75" s="11">
        <v>12</v>
      </c>
      <c r="E75" s="11">
        <v>84</v>
      </c>
    </row>
    <row r="76" spans="2:5">
      <c r="B76" s="9" t="str">
        <f t="shared" si="1"/>
        <v>Arma nv. 413</v>
      </c>
      <c r="C76" s="9" t="s">
        <v>51</v>
      </c>
      <c r="D76" s="11">
        <v>13</v>
      </c>
      <c r="E76" s="11">
        <v>91</v>
      </c>
    </row>
    <row r="77" spans="2:5">
      <c r="B77" s="9" t="str">
        <f t="shared" si="1"/>
        <v>Arma nv. 414</v>
      </c>
      <c r="C77" s="9" t="s">
        <v>51</v>
      </c>
      <c r="D77" s="11">
        <v>14</v>
      </c>
      <c r="E77" s="11">
        <v>98</v>
      </c>
    </row>
    <row r="78" spans="2:5">
      <c r="B78" s="9" t="str">
        <f t="shared" si="1"/>
        <v>Arma nv. 415</v>
      </c>
      <c r="C78" s="9" t="s">
        <v>51</v>
      </c>
      <c r="D78" s="11">
        <v>15</v>
      </c>
      <c r="E78" s="11">
        <v>105</v>
      </c>
    </row>
    <row r="79" spans="2:5">
      <c r="B79" s="9" t="str">
        <f t="shared" si="1"/>
        <v>Arma nv. 416</v>
      </c>
      <c r="C79" s="9" t="s">
        <v>51</v>
      </c>
      <c r="D79" s="11">
        <v>16</v>
      </c>
      <c r="E79" s="11">
        <v>112</v>
      </c>
    </row>
    <row r="80" spans="2:5">
      <c r="B80" s="9" t="str">
        <f t="shared" si="1"/>
        <v>Arma nv. 417</v>
      </c>
      <c r="C80" s="9" t="s">
        <v>51</v>
      </c>
      <c r="D80" s="11">
        <v>17</v>
      </c>
      <c r="E80" s="11">
        <v>119</v>
      </c>
    </row>
    <row r="81" spans="2:5">
      <c r="B81" s="9" t="str">
        <f t="shared" si="1"/>
        <v>Arma nv. 418</v>
      </c>
      <c r="C81" s="9" t="s">
        <v>51</v>
      </c>
      <c r="D81" s="11">
        <v>18</v>
      </c>
      <c r="E81" s="11">
        <v>126</v>
      </c>
    </row>
    <row r="82" spans="2:5">
      <c r="B82" s="9" t="str">
        <f t="shared" si="1"/>
        <v>Arma nv. 419</v>
      </c>
      <c r="C82" s="9" t="s">
        <v>51</v>
      </c>
      <c r="D82" s="11">
        <v>19</v>
      </c>
      <c r="E82" s="11">
        <v>133</v>
      </c>
    </row>
    <row r="83" spans="2:5">
      <c r="B83" s="10" t="str">
        <f t="shared" si="1"/>
        <v>Arma nv. 420</v>
      </c>
      <c r="C83" s="10" t="s">
        <v>51</v>
      </c>
      <c r="D83" s="12">
        <v>20</v>
      </c>
      <c r="E83" s="12">
        <v>140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VINI HAHAHA</vt:lpstr>
      <vt:lpstr>COMPARAÇÃO</vt:lpstr>
      <vt:lpstr>CONSOLIDADO</vt:lpstr>
      <vt:lpstr>REFINO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DIONATA DOS SANTOS</dc:creator>
  <cp:lastModifiedBy>MAGE</cp:lastModifiedBy>
  <cp:lastPrinted>2019-03-18T21:16:13Z</cp:lastPrinted>
  <dcterms:created xsi:type="dcterms:W3CDTF">2019-03-18T21:11:25Z</dcterms:created>
  <dcterms:modified xsi:type="dcterms:W3CDTF">2019-03-22T14:00:21Z</dcterms:modified>
</cp:coreProperties>
</file>