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Documents\GitHub\Telecomm\Orb_Alt_Study\"/>
    </mc:Choice>
  </mc:AlternateContent>
  <xr:revisionPtr revIDLastSave="0" documentId="13_ncr:1_{26585485-3A6C-4C1D-98E5-52D3BB3B9039}" xr6:coauthVersionLast="45" xr6:coauthVersionMax="45" xr10:uidLastSave="{00000000-0000-0000-0000-000000000000}"/>
  <bookViews>
    <workbookView xWindow="5760" yWindow="1296" windowWidth="17280" windowHeight="8964" tabRatio="787" activeTab="3" xr2:uid="{08F54D12-A179-41B6-9AE0-F91540243AA2}"/>
  </bookViews>
  <sheets>
    <sheet name="Coverage vs Angle" sheetId="3" r:id="rId1"/>
    <sheet name="Directivity" sheetId="1" r:id="rId2"/>
    <sheet name="Antennas" sheetId="2" r:id="rId3"/>
    <sheet name="Sheet2" sheetId="8" r:id="rId4"/>
    <sheet name="Sheet1" sheetId="7" r:id="rId5"/>
    <sheet name="Waterfall" sheetId="5" r:id="rId6"/>
    <sheet name="Pointing Accurac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G18" i="2" l="1"/>
  <c r="G17" i="2"/>
  <c r="G16" i="2"/>
  <c r="E18" i="6" l="1"/>
  <c r="C9" i="5" l="1"/>
  <c r="C10" i="5" s="1"/>
  <c r="C6" i="5"/>
  <c r="G3" i="2" l="1"/>
  <c r="C16" i="2"/>
  <c r="G23" i="2"/>
  <c r="C4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8" i="3"/>
  <c r="D9" i="3" l="1"/>
  <c r="F9" i="3" s="1"/>
  <c r="D21" i="3"/>
  <c r="F21" i="3" s="1"/>
  <c r="E21" i="3" s="1"/>
  <c r="D12" i="3"/>
  <c r="F12" i="3" s="1"/>
  <c r="H12" i="3" s="1"/>
  <c r="G12" i="3" s="1"/>
  <c r="D13" i="3"/>
  <c r="F13" i="3" s="1"/>
  <c r="E13" i="3" s="1"/>
  <c r="D22" i="3"/>
  <c r="F22" i="3" s="1"/>
  <c r="H22" i="3" s="1"/>
  <c r="G22" i="3" s="1"/>
  <c r="D20" i="3"/>
  <c r="F20" i="3" s="1"/>
  <c r="E20" i="3" s="1"/>
  <c r="D16" i="3"/>
  <c r="F16" i="3" s="1"/>
  <c r="E16" i="3" s="1"/>
  <c r="E9" i="3"/>
  <c r="H9" i="3"/>
  <c r="G9" i="3" s="1"/>
  <c r="D14" i="3"/>
  <c r="F14" i="3" s="1"/>
  <c r="D24" i="3"/>
  <c r="F24" i="3" s="1"/>
  <c r="D23" i="3"/>
  <c r="F23" i="3" s="1"/>
  <c r="D15" i="3"/>
  <c r="F15" i="3" s="1"/>
  <c r="D19" i="3"/>
  <c r="F19" i="3" s="1"/>
  <c r="D11" i="3"/>
  <c r="F11" i="3" s="1"/>
  <c r="D8" i="3"/>
  <c r="F8" i="3" s="1"/>
  <c r="D18" i="3"/>
  <c r="F18" i="3" s="1"/>
  <c r="D10" i="3"/>
  <c r="F10" i="3" s="1"/>
  <c r="D25" i="3"/>
  <c r="F25" i="3" s="1"/>
  <c r="D17" i="3"/>
  <c r="F17" i="3" s="1"/>
  <c r="G24" i="2"/>
  <c r="G26" i="2" s="1"/>
  <c r="C17" i="2"/>
  <c r="C24" i="2" s="1"/>
  <c r="G4" i="2"/>
  <c r="G7" i="2" s="1"/>
  <c r="C4" i="2"/>
  <c r="C10" i="2" s="1"/>
  <c r="C9" i="2" s="1"/>
  <c r="C75" i="1"/>
  <c r="D75" i="1"/>
  <c r="E75" i="1" s="1"/>
  <c r="F75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/>
  <c r="E68" i="1" s="1"/>
  <c r="F68" i="1" s="1"/>
  <c r="C69" i="1"/>
  <c r="D69" i="1" s="1"/>
  <c r="E69" i="1" s="1"/>
  <c r="F69" i="1" s="1"/>
  <c r="C59" i="1"/>
  <c r="D59" i="1"/>
  <c r="E59" i="1"/>
  <c r="F59" i="1"/>
  <c r="C60" i="1"/>
  <c r="D60" i="1" s="1"/>
  <c r="E60" i="1" s="1"/>
  <c r="F60" i="1" s="1"/>
  <c r="C61" i="1"/>
  <c r="D61" i="1"/>
  <c r="E61" i="1"/>
  <c r="F61" i="1"/>
  <c r="C62" i="1"/>
  <c r="D62" i="1" s="1"/>
  <c r="E62" i="1" s="1"/>
  <c r="F62" i="1" s="1"/>
  <c r="C63" i="1"/>
  <c r="D63" i="1"/>
  <c r="E63" i="1"/>
  <c r="F63" i="1"/>
  <c r="C64" i="1"/>
  <c r="D64" i="1" s="1"/>
  <c r="E64" i="1" s="1"/>
  <c r="F64" i="1" s="1"/>
  <c r="C43" i="1"/>
  <c r="D43" i="1"/>
  <c r="E43" i="1" s="1"/>
  <c r="F43" i="1" s="1"/>
  <c r="C44" i="1"/>
  <c r="D44" i="1"/>
  <c r="E44" i="1" s="1"/>
  <c r="F44" i="1" s="1"/>
  <c r="C45" i="1"/>
  <c r="D45" i="1"/>
  <c r="E45" i="1" s="1"/>
  <c r="F45" i="1" s="1"/>
  <c r="C46" i="1"/>
  <c r="D46" i="1"/>
  <c r="E46" i="1" s="1"/>
  <c r="F46" i="1" s="1"/>
  <c r="C47" i="1"/>
  <c r="D47" i="1"/>
  <c r="E47" i="1" s="1"/>
  <c r="F47" i="1" s="1"/>
  <c r="C48" i="1"/>
  <c r="D48" i="1"/>
  <c r="E48" i="1" s="1"/>
  <c r="F48" i="1" s="1"/>
  <c r="C49" i="1"/>
  <c r="D49" i="1"/>
  <c r="E49" i="1" s="1"/>
  <c r="F49" i="1" s="1"/>
  <c r="C50" i="1"/>
  <c r="D50" i="1"/>
  <c r="E50" i="1" s="1"/>
  <c r="F50" i="1" s="1"/>
  <c r="C51" i="1"/>
  <c r="D51" i="1"/>
  <c r="E51" i="1" s="1"/>
  <c r="F51" i="1" s="1"/>
  <c r="C52" i="1"/>
  <c r="D52" i="1"/>
  <c r="E52" i="1" s="1"/>
  <c r="F52" i="1" s="1"/>
  <c r="C53" i="1"/>
  <c r="D53" i="1"/>
  <c r="E53" i="1" s="1"/>
  <c r="F53" i="1" s="1"/>
  <c r="C54" i="1"/>
  <c r="D54" i="1"/>
  <c r="E54" i="1" s="1"/>
  <c r="F54" i="1" s="1"/>
  <c r="C55" i="1"/>
  <c r="D55" i="1"/>
  <c r="E55" i="1" s="1"/>
  <c r="F55" i="1" s="1"/>
  <c r="C56" i="1"/>
  <c r="D56" i="1"/>
  <c r="E56" i="1" s="1"/>
  <c r="F56" i="1" s="1"/>
  <c r="C57" i="1"/>
  <c r="D57" i="1"/>
  <c r="E57" i="1" s="1"/>
  <c r="F57" i="1" s="1"/>
  <c r="C58" i="1"/>
  <c r="D58" i="1"/>
  <c r="E58" i="1" s="1"/>
  <c r="F58" i="1" s="1"/>
  <c r="C36" i="1"/>
  <c r="D36" i="1"/>
  <c r="E36" i="1" s="1"/>
  <c r="F36" i="1" s="1"/>
  <c r="C37" i="1"/>
  <c r="D37" i="1"/>
  <c r="E37" i="1" s="1"/>
  <c r="F37" i="1" s="1"/>
  <c r="C38" i="1"/>
  <c r="D38" i="1"/>
  <c r="E38" i="1" s="1"/>
  <c r="F38" i="1" s="1"/>
  <c r="C39" i="1"/>
  <c r="D39" i="1"/>
  <c r="E39" i="1" s="1"/>
  <c r="F39" i="1" s="1"/>
  <c r="C40" i="1"/>
  <c r="D40" i="1"/>
  <c r="E40" i="1" s="1"/>
  <c r="F40" i="1" s="1"/>
  <c r="C41" i="1"/>
  <c r="D41" i="1"/>
  <c r="E41" i="1" s="1"/>
  <c r="F41" i="1" s="1"/>
  <c r="C42" i="1"/>
  <c r="D42" i="1"/>
  <c r="E42" i="1" s="1"/>
  <c r="F42" i="1" s="1"/>
  <c r="C28" i="1"/>
  <c r="D28" i="1"/>
  <c r="E28" i="1" s="1"/>
  <c r="F28" i="1" s="1"/>
  <c r="C29" i="1"/>
  <c r="D29" i="1"/>
  <c r="E29" i="1" s="1"/>
  <c r="F29" i="1" s="1"/>
  <c r="C30" i="1"/>
  <c r="D30" i="1"/>
  <c r="E30" i="1" s="1"/>
  <c r="F30" i="1" s="1"/>
  <c r="C31" i="1"/>
  <c r="D31" i="1"/>
  <c r="E31" i="1" s="1"/>
  <c r="F31" i="1" s="1"/>
  <c r="C32" i="1"/>
  <c r="D32" i="1"/>
  <c r="E32" i="1" s="1"/>
  <c r="F32" i="1" s="1"/>
  <c r="C33" i="1"/>
  <c r="D33" i="1"/>
  <c r="E33" i="1" s="1"/>
  <c r="F33" i="1" s="1"/>
  <c r="C34" i="1"/>
  <c r="D34" i="1"/>
  <c r="E34" i="1" s="1"/>
  <c r="F34" i="1" s="1"/>
  <c r="C35" i="1"/>
  <c r="D35" i="1"/>
  <c r="E35" i="1" s="1"/>
  <c r="F35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0" i="1"/>
  <c r="D20" i="1"/>
  <c r="E20" i="1" s="1"/>
  <c r="F20" i="1" s="1"/>
  <c r="C21" i="1"/>
  <c r="D21" i="1"/>
  <c r="E21" i="1" s="1"/>
  <c r="F21" i="1" s="1"/>
  <c r="C22" i="1"/>
  <c r="D22" i="1"/>
  <c r="E22" i="1" s="1"/>
  <c r="F22" i="1" s="1"/>
  <c r="C23" i="1"/>
  <c r="D23" i="1"/>
  <c r="E23" i="1" s="1"/>
  <c r="F23" i="1" s="1"/>
  <c r="G27" i="2" l="1"/>
  <c r="H20" i="3"/>
  <c r="G20" i="3" s="1"/>
  <c r="G12" i="2"/>
  <c r="G11" i="2" s="1"/>
  <c r="E22" i="3"/>
  <c r="E12" i="3"/>
  <c r="H16" i="3"/>
  <c r="G16" i="3" s="1"/>
  <c r="H21" i="3"/>
  <c r="G21" i="3" s="1"/>
  <c r="H13" i="3"/>
  <c r="G13" i="3" s="1"/>
  <c r="H10" i="3"/>
  <c r="G10" i="3" s="1"/>
  <c r="E10" i="3"/>
  <c r="E14" i="3"/>
  <c r="H14" i="3"/>
  <c r="G14" i="3" s="1"/>
  <c r="H23" i="3"/>
  <c r="G23" i="3" s="1"/>
  <c r="E23" i="3"/>
  <c r="H25" i="3"/>
  <c r="G25" i="3" s="1"/>
  <c r="E25" i="3"/>
  <c r="H18" i="3"/>
  <c r="G18" i="3" s="1"/>
  <c r="E18" i="3"/>
  <c r="H24" i="3"/>
  <c r="G24" i="3" s="1"/>
  <c r="E24" i="3"/>
  <c r="H8" i="3"/>
  <c r="G8" i="3" s="1"/>
  <c r="E8" i="3"/>
  <c r="H17" i="3"/>
  <c r="G17" i="3" s="1"/>
  <c r="E17" i="3"/>
  <c r="H11" i="3"/>
  <c r="G11" i="3" s="1"/>
  <c r="E11" i="3"/>
  <c r="H19" i="3"/>
  <c r="G19" i="3" s="1"/>
  <c r="E19" i="3"/>
  <c r="H15" i="3"/>
  <c r="G15" i="3" s="1"/>
  <c r="E15" i="3"/>
  <c r="C19" i="2"/>
  <c r="C21" i="2"/>
  <c r="C22" i="2" s="1"/>
  <c r="C23" i="2"/>
  <c r="G9" i="2"/>
  <c r="G10" i="2" s="1"/>
  <c r="C7" i="2"/>
  <c r="C8" i="2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4" i="1"/>
  <c r="D4" i="1" s="1"/>
  <c r="E4" i="1" s="1"/>
  <c r="F4" i="1" s="1"/>
  <c r="G20" i="2" l="1"/>
  <c r="G22" i="2"/>
  <c r="G29" i="2" l="1"/>
  <c r="G28" i="2" s="1"/>
</calcChain>
</file>

<file path=xl/sharedStrings.xml><?xml version="1.0" encoding="utf-8"?>
<sst xmlns="http://schemas.openxmlformats.org/spreadsheetml/2006/main" count="109" uniqueCount="62">
  <si>
    <t>rad</t>
  </si>
  <si>
    <t xml:space="preserve">Cone apex angle </t>
  </si>
  <si>
    <t xml:space="preserve"> (steradians)</t>
  </si>
  <si>
    <t xml:space="preserve"> (radians)</t>
  </si>
  <si>
    <t>(degrees)</t>
  </si>
  <si>
    <t>Solid angle</t>
  </si>
  <si>
    <t>(-)</t>
  </si>
  <si>
    <t>Directivity</t>
  </si>
  <si>
    <t>(dBi)</t>
  </si>
  <si>
    <t>Parabolic</t>
  </si>
  <si>
    <t>Dish Diameter</t>
  </si>
  <si>
    <t>m</t>
  </si>
  <si>
    <t>Signal Frequency</t>
  </si>
  <si>
    <t>Hz</t>
  </si>
  <si>
    <t>Signal Wavelength</t>
  </si>
  <si>
    <t>Peak Gain</t>
  </si>
  <si>
    <t>dBi</t>
  </si>
  <si>
    <t>Aperture Efficiency</t>
  </si>
  <si>
    <t>Half-Power Beamwidth</t>
  </si>
  <si>
    <t>deg</t>
  </si>
  <si>
    <t>Helical</t>
  </si>
  <si>
    <t>Helix Diameter</t>
  </si>
  <si>
    <t>Helix Length</t>
  </si>
  <si>
    <t>Horn</t>
  </si>
  <si>
    <t>Exit Diameter</t>
  </si>
  <si>
    <t>Optimal h</t>
  </si>
  <si>
    <r>
      <t>0.8 &lt; C/</t>
    </r>
    <r>
      <rPr>
        <sz val="11"/>
        <color theme="1"/>
        <rFont val="Calibri"/>
        <family val="2"/>
      </rPr>
      <t>λ &lt; 1.2</t>
    </r>
  </si>
  <si>
    <t>Planar Array</t>
  </si>
  <si>
    <t>(deg)</t>
  </si>
  <si>
    <t>(rad)</t>
  </si>
  <si>
    <t>Apex Angle</t>
  </si>
  <si>
    <t>Latitude</t>
  </si>
  <si>
    <t>Mars Rad</t>
  </si>
  <si>
    <t>km</t>
  </si>
  <si>
    <t>Sat Alt</t>
  </si>
  <si>
    <t>Sum</t>
  </si>
  <si>
    <t>Distance</t>
  </si>
  <si>
    <t>(km)</t>
  </si>
  <si>
    <t>Elevation</t>
  </si>
  <si>
    <t>mm</t>
  </si>
  <si>
    <t># Elements</t>
  </si>
  <si>
    <t>Area</t>
  </si>
  <si>
    <t>m2</t>
  </si>
  <si>
    <t>Patches in x direction</t>
  </si>
  <si>
    <t>Patches in y direction</t>
  </si>
  <si>
    <t>Length</t>
  </si>
  <si>
    <t>Ground User</t>
  </si>
  <si>
    <t>Orbital User</t>
  </si>
  <si>
    <t>Gb</t>
  </si>
  <si>
    <t>RS Daily Throughput</t>
  </si>
  <si>
    <t>User - RS Daily Transfer per Orbiter</t>
  </si>
  <si>
    <t>Number of RS Orbiters</t>
  </si>
  <si>
    <t>RS - ECS Daily Transfer per Orbiter</t>
  </si>
  <si>
    <t>Number of ECS Orbiters</t>
  </si>
  <si>
    <t>ECS Daily Throughput</t>
  </si>
  <si>
    <t>ECS Orbiter Average Downlink Rate</t>
  </si>
  <si>
    <t>Mb/s</t>
  </si>
  <si>
    <t>Quantity of Users</t>
  </si>
  <si>
    <t>-</t>
  </si>
  <si>
    <t>Waterfall</t>
  </si>
  <si>
    <t>dB Loss</t>
  </si>
  <si>
    <t>Off Axis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</si>
</sst>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fgColor auto="1"/>
        <bgColor theme="0" tint="-0.34998626667073579"/>
      </patternFill>
    </fill>
    <fill>
      <patternFill patternType="lightGray">
        <bgColor theme="0" tint="-0.34998626667073579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11" fontId="0" fillId="4" borderId="0" xfId="0" applyNumberFormat="1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2" fontId="0" fillId="4" borderId="0" xfId="0" applyNumberFormat="1" applyFill="1"/>
    <xf numFmtId="1" fontId="0" fillId="0" borderId="1" xfId="0" applyNumberFormat="1" applyBorder="1"/>
    <xf numFmtId="164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0" xfId="0" applyFill="1"/>
    <xf numFmtId="165" fontId="0" fillId="0" borderId="0" xfId="0" applyNumberFormat="1"/>
    <xf numFmtId="0" fontId="0" fillId="7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/>
    <xf numFmtId="0" fontId="0" fillId="4" borderId="1" xfId="0" applyFill="1" applyBorder="1"/>
    <xf numFmtId="0" fontId="4" fillId="8" borderId="1" xfId="0" applyFont="1" applyFill="1" applyBorder="1" applyAlignment="1">
      <alignment horizontal="center" vertical="center"/>
    </xf>
    <xf numFmtId="166" fontId="0" fillId="0" borderId="0" xfId="0" applyNumberFormat="1"/>
    <xf numFmtId="166" fontId="0" fillId="3" borderId="0" xfId="0" applyNumberFormat="1" applyFill="1"/>
    <xf numFmtId="0" fontId="3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Conical Angle vs Directivity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Directivity!$F$3</c:f>
              <c:strCache>
                <c:ptCount val="1"/>
                <c:pt idx="0">
                  <c:v>(dBi)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Directivity!$B$4:$B$39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xVal>
          <c:yVal>
            <c:numRef>
              <c:f>Directivity!$F$4:$F$39</c:f>
              <c:numCache>
                <c:formatCode>0.00</c:formatCode>
                <c:ptCount val="36"/>
                <c:pt idx="0">
                  <c:v>33.224941428457065</c:v>
                </c:pt>
                <c:pt idx="1">
                  <c:v>27.206408767683016</c:v>
                </c:pt>
                <c:pt idx="2">
                  <c:v>23.688029444868729</c:v>
                </c:pt>
                <c:pt idx="3">
                  <c:v>21.194079833397595</c:v>
                </c:pt>
                <c:pt idx="4">
                  <c:v>19.262084876403595</c:v>
                </c:pt>
                <c:pt idx="5">
                  <c:v>17.686046625478443</c:v>
                </c:pt>
                <c:pt idx="6">
                  <c:v>16.356080319530964</c:v>
                </c:pt>
                <c:pt idx="7">
                  <c:v>15.206595399767991</c:v>
                </c:pt>
                <c:pt idx="8">
                  <c:v>14.195285488505608</c:v>
                </c:pt>
                <c:pt idx="9">
                  <c:v>13.29326498773877</c:v>
                </c:pt>
                <c:pt idx="10">
                  <c:v>12.479931894819678</c:v>
                </c:pt>
                <c:pt idx="11">
                  <c:v>11.740075388613217</c:v>
                </c:pt>
                <c:pt idx="12">
                  <c:v>11.062145154976202</c:v>
                </c:pt>
                <c:pt idx="13">
                  <c:v>10.437163917642774</c:v>
                </c:pt>
                <c:pt idx="14">
                  <c:v>9.8580160604033029</c:v>
                </c:pt>
                <c:pt idx="15">
                  <c:v>9.3189663070896565</c:v>
                </c:pt>
                <c:pt idx="16">
                  <c:v>8.8153245780835405</c:v>
                </c:pt>
                <c:pt idx="17">
                  <c:v>8.3432067883383496</c:v>
                </c:pt>
                <c:pt idx="18">
                  <c:v>7.899360406479909</c:v>
                </c:pt>
                <c:pt idx="19">
                  <c:v>7.4810348119372048</c:v>
                </c:pt>
                <c:pt idx="20">
                  <c:v>7.0858833169840638</c:v>
                </c:pt>
                <c:pt idx="21">
                  <c:v>6.7118880039602393</c:v>
                </c:pt>
                <c:pt idx="22">
                  <c:v>6.3573012855496112</c:v>
                </c:pt>
                <c:pt idx="23">
                  <c:v>6.0205999132796251</c:v>
                </c:pt>
                <c:pt idx="24">
                  <c:v>5.7004483823934047</c:v>
                </c:pt>
                <c:pt idx="25">
                  <c:v>5.3956695200192053</c:v>
                </c:pt>
                <c:pt idx="26">
                  <c:v>5.1052206287982083</c:v>
                </c:pt>
                <c:pt idx="27">
                  <c:v>4.8281739729180542</c:v>
                </c:pt>
                <c:pt idx="28">
                  <c:v>4.5637006917284522</c:v>
                </c:pt>
                <c:pt idx="29">
                  <c:v>4.311057443387587</c:v>
                </c:pt>
                <c:pt idx="30">
                  <c:v>4.0695752412178994</c:v>
                </c:pt>
                <c:pt idx="31">
                  <c:v>3.8386500649513033</c:v>
                </c:pt>
                <c:pt idx="32">
                  <c:v>3.6177349191060824</c:v>
                </c:pt>
                <c:pt idx="33">
                  <c:v>3.4063330792764805</c:v>
                </c:pt>
                <c:pt idx="34">
                  <c:v>3.2039923197507991</c:v>
                </c:pt>
                <c:pt idx="35">
                  <c:v>3.010299956639813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E-4433-88A6-2BCEBCDF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21672"/>
        <c:axId val="568620360"/>
      </c:scatterChart>
      <c:valAx>
        <c:axId val="56862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Apex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360"/>
        <c:crosses val="autoZero"/>
        <c:crossBetween val="midCat"/>
      </c:valAx>
      <c:valAx>
        <c:axId val="5686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Directivity (dBi)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'Pointing Accuracy'!$D$8:$D$10</c:f>
              <c:numCache>
                <c:formatCode>General</c:formatCode>
                <c:ptCount val="3"/>
                <c:pt idx="0">
                  <c:v>-0.14000000000000001</c:v>
                </c:pt>
                <c:pt idx="1">
                  <c:v>0</c:v>
                </c:pt>
                <c:pt idx="2">
                  <c:v>0.14000000000000001</c:v>
                </c:pt>
              </c:numCache>
            </c:numRef>
          </c:xVal>
          <c:yVal>
            <c:numRef>
              <c:f>'Pointing Accuracy'!$E$8:$E$10</c:f>
              <c:numCache>
                <c:formatCode>General</c:formatCode>
                <c:ptCount val="3"/>
                <c:pt idx="0">
                  <c:v>-3</c:v>
                </c:pt>
                <c:pt idx="1">
                  <c:v>0</c:v>
                </c:pt>
                <c:pt idx="2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F-41AD-A465-85D8C548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66472"/>
        <c:axId val="776463192"/>
      </c:scatterChart>
      <c:valAx>
        <c:axId val="77646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63192"/>
        <c:crosses val="autoZero"/>
        <c:crossBetween val="midCat"/>
      </c:valAx>
      <c:valAx>
        <c:axId val="7764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6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53340</xdr:rowOff>
    </xdr:from>
    <xdr:to>
      <xdr:col>14</xdr:col>
      <xdr:colOff>342900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660AC-F5F3-468A-8336-491B73A50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3CF71-0D66-4667-811A-BC3C8FB02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62C6-ED1D-4710-9443-7D6D06AC8511}">
  <dimension ref="B2:H25"/>
  <sheetViews>
    <sheetView workbookViewId="0">
      <selection activeCell="D8" sqref="D8"/>
    </sheetView>
  </sheetViews>
  <sheetFormatPr defaultRowHeight="14.4" x14ac:dyDescent="0.3"/>
  <cols>
    <col min="2" max="3" width="9.109375" customWidth="1"/>
    <col min="4" max="4" width="10.21875" bestFit="1" customWidth="1"/>
    <col min="5" max="8" width="9.109375" customWidth="1"/>
  </cols>
  <sheetData>
    <row r="2" spans="2:8" x14ac:dyDescent="0.3">
      <c r="B2" t="s">
        <v>32</v>
      </c>
      <c r="C2">
        <v>3390</v>
      </c>
      <c r="D2" t="s">
        <v>33</v>
      </c>
    </row>
    <row r="3" spans="2:8" x14ac:dyDescent="0.3">
      <c r="B3" t="s">
        <v>34</v>
      </c>
      <c r="C3">
        <v>3000</v>
      </c>
      <c r="D3" t="s">
        <v>33</v>
      </c>
    </row>
    <row r="4" spans="2:8" x14ac:dyDescent="0.3">
      <c r="B4" t="s">
        <v>35</v>
      </c>
      <c r="C4">
        <f>C2+C3</f>
        <v>6390</v>
      </c>
      <c r="D4" t="s">
        <v>33</v>
      </c>
    </row>
    <row r="6" spans="2:8" ht="18" x14ac:dyDescent="0.35">
      <c r="B6" s="24" t="s">
        <v>31</v>
      </c>
      <c r="C6" s="24"/>
      <c r="D6" s="14" t="s">
        <v>36</v>
      </c>
      <c r="E6" s="24" t="s">
        <v>30</v>
      </c>
      <c r="F6" s="24"/>
      <c r="G6" s="24" t="s">
        <v>38</v>
      </c>
      <c r="H6" s="24"/>
    </row>
    <row r="7" spans="2:8" x14ac:dyDescent="0.3">
      <c r="B7" s="13" t="s">
        <v>28</v>
      </c>
      <c r="C7" s="13" t="s">
        <v>29</v>
      </c>
      <c r="D7" s="13" t="s">
        <v>37</v>
      </c>
      <c r="E7" s="13" t="s">
        <v>28</v>
      </c>
      <c r="F7" s="13" t="s">
        <v>29</v>
      </c>
      <c r="G7" s="13" t="s">
        <v>28</v>
      </c>
      <c r="H7" s="13" t="s">
        <v>29</v>
      </c>
    </row>
    <row r="8" spans="2:8" x14ac:dyDescent="0.3">
      <c r="B8" s="3">
        <v>5</v>
      </c>
      <c r="C8" s="4">
        <f>RADIANS(B8)</f>
        <v>8.7266462599716474E-2</v>
      </c>
      <c r="D8" s="11">
        <f>SQRT($C$2^2+$C$4^2-2*$C$2*$C$4*COS(C8))</f>
        <v>3027.3522525358026</v>
      </c>
      <c r="E8" s="12">
        <f>DEGREES(F8)</f>
        <v>11.201527297697824</v>
      </c>
      <c r="F8" s="12">
        <f>2*ASIN($C$2*SIN(C8)/D8)</f>
        <v>0.19550353259685008</v>
      </c>
      <c r="G8" s="12">
        <f>DEGREES(H8)</f>
        <v>73.798472702302178</v>
      </c>
      <c r="H8" s="12">
        <f>PI()/2 - F8-C8</f>
        <v>1.28802633159833</v>
      </c>
    </row>
    <row r="9" spans="2:8" x14ac:dyDescent="0.3">
      <c r="B9" s="3">
        <v>10</v>
      </c>
      <c r="C9" s="4">
        <f t="shared" ref="C9:C25" si="0">RADIANS(B9)</f>
        <v>0.17453292519943295</v>
      </c>
      <c r="D9" s="11">
        <f t="shared" ref="D9:D25" si="1">SQRT($C$2^2+$C$4^2-2*$C$2*$C$4*COS(C9))</f>
        <v>3107.7631742056051</v>
      </c>
      <c r="E9" s="12">
        <f t="shared" ref="E9:E25" si="2">DEGREES(F9)</f>
        <v>21.837681556876039</v>
      </c>
      <c r="F9" s="12">
        <f t="shared" ref="F9:F25" si="3">2*ASIN($C$2*SIN(C9)/D9)</f>
        <v>0.38113944416952822</v>
      </c>
      <c r="G9" s="12">
        <f t="shared" ref="G9:G25" si="4">DEGREES(H9)</f>
        <v>58.162318443123965</v>
      </c>
      <c r="H9" s="12">
        <f t="shared" ref="H9:H25" si="5">PI()/2 - F9-C9</f>
        <v>1.0151239574259354</v>
      </c>
    </row>
    <row r="10" spans="2:8" x14ac:dyDescent="0.3">
      <c r="B10" s="3">
        <v>15</v>
      </c>
      <c r="C10" s="4">
        <f t="shared" si="0"/>
        <v>0.26179938779914941</v>
      </c>
      <c r="D10" s="11">
        <f t="shared" si="1"/>
        <v>3236.7014562185286</v>
      </c>
      <c r="E10" s="12">
        <f t="shared" si="2"/>
        <v>31.456775034524085</v>
      </c>
      <c r="F10" s="12">
        <f t="shared" si="3"/>
        <v>0.54902429641159822</v>
      </c>
      <c r="G10" s="12">
        <f t="shared" si="4"/>
        <v>43.543224965475922</v>
      </c>
      <c r="H10" s="12">
        <f t="shared" si="5"/>
        <v>0.75997264258414909</v>
      </c>
    </row>
    <row r="11" spans="2:8" x14ac:dyDescent="0.3">
      <c r="B11" s="3">
        <v>20</v>
      </c>
      <c r="C11" s="4">
        <f t="shared" si="0"/>
        <v>0.3490658503988659</v>
      </c>
      <c r="D11" s="11">
        <f t="shared" si="1"/>
        <v>3407.7513052667364</v>
      </c>
      <c r="E11" s="12">
        <f t="shared" si="2"/>
        <v>39.782814220319842</v>
      </c>
      <c r="F11" s="12">
        <f t="shared" si="3"/>
        <v>0.69434109385380205</v>
      </c>
      <c r="G11" s="12">
        <f t="shared" si="4"/>
        <v>30.217185779680161</v>
      </c>
      <c r="H11" s="12">
        <f t="shared" si="5"/>
        <v>0.52738938254222867</v>
      </c>
    </row>
    <row r="12" spans="2:8" x14ac:dyDescent="0.3">
      <c r="B12" s="3">
        <v>25</v>
      </c>
      <c r="C12" s="4">
        <f t="shared" si="0"/>
        <v>0.43633231299858238</v>
      </c>
      <c r="D12" s="11">
        <f t="shared" si="1"/>
        <v>3613.7432356030454</v>
      </c>
      <c r="E12" s="12">
        <f t="shared" si="2"/>
        <v>46.713130806487897</v>
      </c>
      <c r="F12" s="12">
        <f t="shared" si="3"/>
        <v>0.81529793648800797</v>
      </c>
      <c r="G12" s="12">
        <f t="shared" si="4"/>
        <v>18.2868691935121</v>
      </c>
      <c r="H12" s="12">
        <f t="shared" si="5"/>
        <v>0.31916607730830621</v>
      </c>
    </row>
    <row r="13" spans="2:8" x14ac:dyDescent="0.3">
      <c r="B13" s="3">
        <v>30</v>
      </c>
      <c r="C13" s="4">
        <f t="shared" si="0"/>
        <v>0.52359877559829882</v>
      </c>
      <c r="D13" s="11">
        <f t="shared" si="1"/>
        <v>3847.6411216955021</v>
      </c>
      <c r="E13" s="12">
        <f t="shared" si="2"/>
        <v>52.275359652440088</v>
      </c>
      <c r="F13" s="12">
        <f t="shared" si="3"/>
        <v>0.91237714359927813</v>
      </c>
      <c r="G13" s="12">
        <f t="shared" si="4"/>
        <v>7.7246403475599132</v>
      </c>
      <c r="H13" s="12">
        <f t="shared" si="5"/>
        <v>0.13482040759731961</v>
      </c>
    </row>
    <row r="14" spans="2:8" x14ac:dyDescent="0.3">
      <c r="B14" s="3">
        <v>35</v>
      </c>
      <c r="C14" s="4">
        <f t="shared" si="0"/>
        <v>0.6108652381980153</v>
      </c>
      <c r="D14" s="11">
        <f t="shared" si="1"/>
        <v>4103.0589811523378</v>
      </c>
      <c r="E14" s="12">
        <f t="shared" si="2"/>
        <v>56.575013942406059</v>
      </c>
      <c r="F14" s="12">
        <f t="shared" si="3"/>
        <v>0.98742026765668334</v>
      </c>
      <c r="G14" s="12">
        <f t="shared" si="4"/>
        <v>-1.5750139424060599</v>
      </c>
      <c r="H14" s="12">
        <f t="shared" si="5"/>
        <v>-2.7489179059802082E-2</v>
      </c>
    </row>
    <row r="15" spans="2:8" x14ac:dyDescent="0.3">
      <c r="B15" s="3">
        <v>40</v>
      </c>
      <c r="C15" s="4">
        <f t="shared" si="0"/>
        <v>0.69813170079773179</v>
      </c>
      <c r="D15" s="11">
        <f t="shared" si="1"/>
        <v>4374.4642343291334</v>
      </c>
      <c r="E15" s="12">
        <f t="shared" si="2"/>
        <v>59.752660883078505</v>
      </c>
      <c r="F15" s="12">
        <f t="shared" si="3"/>
        <v>1.0428806692373425</v>
      </c>
      <c r="G15" s="12">
        <f t="shared" si="4"/>
        <v>-9.7526608830785086</v>
      </c>
      <c r="H15" s="12">
        <f t="shared" si="5"/>
        <v>-0.17021604324017769</v>
      </c>
    </row>
    <row r="16" spans="2:8" x14ac:dyDescent="0.3">
      <c r="B16" s="3">
        <v>45</v>
      </c>
      <c r="C16" s="4">
        <f t="shared" si="0"/>
        <v>0.78539816339744828</v>
      </c>
      <c r="D16" s="11">
        <f t="shared" si="1"/>
        <v>4657.1841697014488</v>
      </c>
      <c r="E16" s="12">
        <f t="shared" si="2"/>
        <v>61.955937101494634</v>
      </c>
      <c r="F16" s="12">
        <f t="shared" si="3"/>
        <v>1.0813350935795936</v>
      </c>
      <c r="G16" s="12">
        <f t="shared" si="4"/>
        <v>-16.955937101494634</v>
      </c>
      <c r="H16" s="12">
        <f t="shared" si="5"/>
        <v>-0.29593693018214529</v>
      </c>
    </row>
    <row r="17" spans="2:8" x14ac:dyDescent="0.3">
      <c r="B17" s="3">
        <v>50</v>
      </c>
      <c r="C17" s="4">
        <f t="shared" si="0"/>
        <v>0.87266462599716477</v>
      </c>
      <c r="D17" s="11">
        <f t="shared" si="1"/>
        <v>4947.3165494456116</v>
      </c>
      <c r="E17" s="12">
        <f t="shared" si="2"/>
        <v>63.324226040256036</v>
      </c>
      <c r="F17" s="12">
        <f t="shared" si="3"/>
        <v>1.1052162406795991</v>
      </c>
      <c r="G17" s="12">
        <f t="shared" si="4"/>
        <v>-23.324226040256036</v>
      </c>
      <c r="H17" s="12">
        <f t="shared" si="5"/>
        <v>-0.40708453988186732</v>
      </c>
    </row>
    <row r="18" spans="2:8" x14ac:dyDescent="0.3">
      <c r="B18" s="3">
        <v>55</v>
      </c>
      <c r="C18" s="4">
        <f t="shared" si="0"/>
        <v>0.95993108859688125</v>
      </c>
      <c r="D18" s="11">
        <f t="shared" si="1"/>
        <v>5241.6085084866845</v>
      </c>
      <c r="E18" s="12">
        <f t="shared" si="2"/>
        <v>63.981855149638136</v>
      </c>
      <c r="F18" s="12">
        <f t="shared" si="3"/>
        <v>1.1166940338952747</v>
      </c>
      <c r="G18" s="12">
        <f t="shared" si="4"/>
        <v>-28.981855149638136</v>
      </c>
      <c r="H18" s="12">
        <f t="shared" si="5"/>
        <v>-0.50582879569725936</v>
      </c>
    </row>
    <row r="19" spans="2:8" x14ac:dyDescent="0.3">
      <c r="B19" s="3">
        <v>60</v>
      </c>
      <c r="C19" s="4">
        <f t="shared" si="0"/>
        <v>1.0471975511965976</v>
      </c>
      <c r="D19" s="11">
        <f t="shared" si="1"/>
        <v>5537.3369050474066</v>
      </c>
      <c r="E19" s="12">
        <f t="shared" si="2"/>
        <v>64.036231765891941</v>
      </c>
      <c r="F19" s="12">
        <f t="shared" si="3"/>
        <v>1.117643084884997</v>
      </c>
      <c r="G19" s="12">
        <f t="shared" si="4"/>
        <v>-34.036231765891934</v>
      </c>
      <c r="H19" s="12">
        <f t="shared" si="5"/>
        <v>-0.59404430928669805</v>
      </c>
    </row>
    <row r="20" spans="2:8" x14ac:dyDescent="0.3">
      <c r="B20" s="3">
        <v>65</v>
      </c>
      <c r="C20" s="4">
        <f t="shared" si="0"/>
        <v>1.1344640137963142</v>
      </c>
      <c r="D20" s="11">
        <f t="shared" si="1"/>
        <v>5832.203863437353</v>
      </c>
      <c r="E20" s="12">
        <f t="shared" si="2"/>
        <v>63.57849595685245</v>
      </c>
      <c r="F20" s="12">
        <f t="shared" si="3"/>
        <v>1.1096540879129779</v>
      </c>
      <c r="G20" s="12">
        <f t="shared" si="4"/>
        <v>-38.578495956852457</v>
      </c>
      <c r="H20" s="12">
        <f t="shared" si="5"/>
        <v>-0.6733217749143956</v>
      </c>
    </row>
    <row r="21" spans="2:8" x14ac:dyDescent="0.3">
      <c r="B21" s="3">
        <v>70</v>
      </c>
      <c r="C21" s="4">
        <f t="shared" si="0"/>
        <v>1.2217304763960306</v>
      </c>
      <c r="D21" s="11">
        <f t="shared" si="1"/>
        <v>6124.2510486205629</v>
      </c>
      <c r="E21" s="12">
        <f t="shared" si="2"/>
        <v>62.685258462606292</v>
      </c>
      <c r="F21" s="12">
        <f t="shared" si="3"/>
        <v>1.0940641526361186</v>
      </c>
      <c r="G21" s="12">
        <f t="shared" si="4"/>
        <v>-42.685258462606292</v>
      </c>
      <c r="H21" s="12">
        <f t="shared" si="5"/>
        <v>-0.74499830223725261</v>
      </c>
    </row>
    <row r="22" spans="2:8" x14ac:dyDescent="0.3">
      <c r="B22" s="3">
        <v>75</v>
      </c>
      <c r="C22" s="4">
        <f t="shared" si="0"/>
        <v>1.3089969389957472</v>
      </c>
      <c r="D22" s="11">
        <f t="shared" si="1"/>
        <v>6411.7916315308757</v>
      </c>
      <c r="E22" s="12">
        <f t="shared" si="2"/>
        <v>61.420656013094224</v>
      </c>
      <c r="F22" s="12">
        <f t="shared" si="3"/>
        <v>1.0719926761633476</v>
      </c>
      <c r="G22" s="12">
        <f t="shared" si="4"/>
        <v>-46.420656013094231</v>
      </c>
      <c r="H22" s="12">
        <f t="shared" si="5"/>
        <v>-0.81019328836419824</v>
      </c>
    </row>
    <row r="23" spans="2:8" x14ac:dyDescent="0.3">
      <c r="B23" s="3">
        <v>80</v>
      </c>
      <c r="C23" s="4">
        <f t="shared" si="0"/>
        <v>1.3962634015954636</v>
      </c>
      <c r="D23" s="11">
        <f t="shared" si="1"/>
        <v>6693.3572757714328</v>
      </c>
      <c r="E23" s="12">
        <f t="shared" si="2"/>
        <v>59.838350831300225</v>
      </c>
      <c r="F23" s="12">
        <f t="shared" si="3"/>
        <v>1.0443762409696749</v>
      </c>
      <c r="G23" s="12">
        <f t="shared" si="4"/>
        <v>-49.838350831300225</v>
      </c>
      <c r="H23" s="12">
        <f t="shared" si="5"/>
        <v>-0.86984331577024188</v>
      </c>
    </row>
    <row r="24" spans="2:8" x14ac:dyDescent="0.3">
      <c r="B24" s="3">
        <v>85</v>
      </c>
      <c r="C24" s="4">
        <f t="shared" si="0"/>
        <v>1.4835298641951802</v>
      </c>
      <c r="D24" s="11">
        <f t="shared" si="1"/>
        <v>6967.6572224853244</v>
      </c>
      <c r="E24" s="12">
        <f t="shared" si="2"/>
        <v>57.983317424827561</v>
      </c>
      <c r="F24" s="12">
        <f t="shared" si="3"/>
        <v>1.0119998002922406</v>
      </c>
      <c r="G24" s="12">
        <f t="shared" si="4"/>
        <v>-52.983317424827568</v>
      </c>
      <c r="H24" s="12">
        <f t="shared" si="5"/>
        <v>-0.92473333769252419</v>
      </c>
    </row>
    <row r="25" spans="2:8" x14ac:dyDescent="0.3">
      <c r="B25" s="3">
        <v>90</v>
      </c>
      <c r="C25" s="4">
        <f t="shared" si="0"/>
        <v>1.5707963267948966</v>
      </c>
      <c r="D25" s="11">
        <f t="shared" si="1"/>
        <v>7233.5468478471885</v>
      </c>
      <c r="E25" s="12">
        <f t="shared" si="2"/>
        <v>55.893370462598114</v>
      </c>
      <c r="F25" s="12">
        <f t="shared" si="3"/>
        <v>0.97552334460928314</v>
      </c>
      <c r="G25" s="12">
        <f t="shared" si="4"/>
        <v>-55.893370462598114</v>
      </c>
      <c r="H25" s="12">
        <f t="shared" si="5"/>
        <v>-0.97552334460928314</v>
      </c>
    </row>
  </sheetData>
  <mergeCells count="3">
    <mergeCell ref="B6:C6"/>
    <mergeCell ref="E6:F6"/>
    <mergeCell ref="G6:H6"/>
  </mergeCells>
  <conditionalFormatting sqref="B8:H25">
    <cfRule type="expression" dxfId="2" priority="1">
      <formula>$G8&gt;0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A040-5ACF-45D5-8CD4-545F1E410094}">
  <dimension ref="B2:F75"/>
  <sheetViews>
    <sheetView workbookViewId="0">
      <selection activeCell="F15" sqref="F15"/>
    </sheetView>
  </sheetViews>
  <sheetFormatPr defaultRowHeight="14.4" x14ac:dyDescent="0.3"/>
  <cols>
    <col min="2" max="3" width="8.44140625" bestFit="1" customWidth="1"/>
    <col min="4" max="4" width="10.88671875" bestFit="1" customWidth="1"/>
    <col min="10" max="10" width="14.21875" bestFit="1" customWidth="1"/>
    <col min="11" max="11" width="14" bestFit="1" customWidth="1"/>
    <col min="12" max="12" width="12.5546875" bestFit="1" customWidth="1"/>
    <col min="13" max="13" width="9.21875" bestFit="1" customWidth="1"/>
    <col min="14" max="14" width="13.44140625" bestFit="1" customWidth="1"/>
  </cols>
  <sheetData>
    <row r="2" spans="2:6" x14ac:dyDescent="0.3">
      <c r="B2" s="25" t="s">
        <v>1</v>
      </c>
      <c r="C2" s="25"/>
      <c r="D2" s="1" t="s">
        <v>5</v>
      </c>
      <c r="E2" s="25" t="s">
        <v>7</v>
      </c>
      <c r="F2" s="25"/>
    </row>
    <row r="3" spans="2:6" x14ac:dyDescent="0.3">
      <c r="B3" s="2" t="s">
        <v>4</v>
      </c>
      <c r="C3" s="2" t="s">
        <v>3</v>
      </c>
      <c r="D3" s="2" t="s">
        <v>2</v>
      </c>
      <c r="E3" s="2" t="s">
        <v>6</v>
      </c>
      <c r="F3" s="2" t="s">
        <v>8</v>
      </c>
    </row>
    <row r="4" spans="2:6" x14ac:dyDescent="0.3">
      <c r="B4" s="3">
        <v>5</v>
      </c>
      <c r="C4" s="4">
        <f>RADIANS(B4)</f>
        <v>8.7266462599716474E-2</v>
      </c>
      <c r="D4" s="4">
        <f>4*PI()*(SIN(C4/4))^2</f>
        <v>5.980200172561935E-3</v>
      </c>
      <c r="E4" s="4">
        <f>4*PI()/D4</f>
        <v>2101.3294290742283</v>
      </c>
      <c r="F4" s="4">
        <f>10*LOG10(E4)</f>
        <v>33.224941428457065</v>
      </c>
    </row>
    <row r="5" spans="2:6" x14ac:dyDescent="0.3">
      <c r="B5" s="3">
        <v>10</v>
      </c>
      <c r="C5" s="4">
        <f t="shared" ref="C5:C19" si="0">RADIANS(B5)</f>
        <v>0.17453292519943295</v>
      </c>
      <c r="D5" s="4">
        <f t="shared" ref="D5:D19" si="1">4*PI()*(SIN(C5/4))^2</f>
        <v>2.3909417039326916E-2</v>
      </c>
      <c r="E5" s="4">
        <f t="shared" ref="E5:E19" si="2">4*PI()/D5</f>
        <v>525.58247629750383</v>
      </c>
      <c r="F5" s="4">
        <f t="shared" ref="F5:F19" si="3">10*LOG10(E5)</f>
        <v>27.206408767683016</v>
      </c>
    </row>
    <row r="6" spans="2:6" x14ac:dyDescent="0.3">
      <c r="B6" s="3">
        <v>15</v>
      </c>
      <c r="C6" s="4">
        <f t="shared" si="0"/>
        <v>0.26179938779914941</v>
      </c>
      <c r="D6" s="4">
        <f t="shared" si="1"/>
        <v>5.3753521316958972E-2</v>
      </c>
      <c r="E6" s="4">
        <f t="shared" si="2"/>
        <v>233.77762621840634</v>
      </c>
      <c r="F6" s="4">
        <f t="shared" si="3"/>
        <v>23.688029444868729</v>
      </c>
    </row>
    <row r="7" spans="2:6" x14ac:dyDescent="0.3">
      <c r="B7" s="3">
        <v>20</v>
      </c>
      <c r="C7" s="4">
        <f t="shared" si="0"/>
        <v>0.3490658503988659</v>
      </c>
      <c r="D7" s="4">
        <f t="shared" si="1"/>
        <v>9.5455703056737631E-2</v>
      </c>
      <c r="E7" s="4">
        <f t="shared" si="2"/>
        <v>131.64609564385989</v>
      </c>
      <c r="F7" s="4">
        <f t="shared" si="3"/>
        <v>21.194079833397595</v>
      </c>
    </row>
    <row r="8" spans="2:6" x14ac:dyDescent="0.3">
      <c r="B8" s="3">
        <v>25</v>
      </c>
      <c r="C8" s="4">
        <f t="shared" si="0"/>
        <v>0.43633231299858238</v>
      </c>
      <c r="D8" s="4">
        <f t="shared" si="1"/>
        <v>0.14893657978552419</v>
      </c>
      <c r="E8" s="4">
        <f t="shared" si="2"/>
        <v>84.373970668960894</v>
      </c>
      <c r="F8" s="4">
        <f t="shared" si="3"/>
        <v>19.262084876403595</v>
      </c>
    </row>
    <row r="9" spans="2:6" x14ac:dyDescent="0.3">
      <c r="B9" s="3">
        <v>30</v>
      </c>
      <c r="C9" s="4">
        <f t="shared" si="0"/>
        <v>0.52359877559829882</v>
      </c>
      <c r="D9" s="4">
        <f t="shared" si="1"/>
        <v>0.214094347614811</v>
      </c>
      <c r="E9" s="4">
        <f t="shared" si="2"/>
        <v>58.695480540981052</v>
      </c>
      <c r="F9" s="4">
        <f t="shared" si="3"/>
        <v>17.686046625478443</v>
      </c>
    </row>
    <row r="10" spans="2:6" x14ac:dyDescent="0.3">
      <c r="B10" s="3">
        <v>35</v>
      </c>
      <c r="C10" s="4">
        <f t="shared" si="0"/>
        <v>0.6108652381980153</v>
      </c>
      <c r="D10" s="4">
        <f t="shared" si="1"/>
        <v>0.29080497503020974</v>
      </c>
      <c r="E10" s="4">
        <f t="shared" si="2"/>
        <v>43.21236462015046</v>
      </c>
      <c r="F10" s="4">
        <f t="shared" si="3"/>
        <v>16.356080319530964</v>
      </c>
    </row>
    <row r="11" spans="2:6" x14ac:dyDescent="0.3">
      <c r="B11" s="3">
        <v>40</v>
      </c>
      <c r="C11" s="4">
        <f t="shared" si="0"/>
        <v>0.69813170079773179</v>
      </c>
      <c r="D11" s="4">
        <f t="shared" si="1"/>
        <v>0.37892243899248795</v>
      </c>
      <c r="E11" s="4">
        <f t="shared" si="2"/>
        <v>33.163437477526365</v>
      </c>
      <c r="F11" s="4">
        <f t="shared" si="3"/>
        <v>15.206595399767991</v>
      </c>
    </row>
    <row r="12" spans="2:6" x14ac:dyDescent="0.3">
      <c r="B12" s="3">
        <v>45</v>
      </c>
      <c r="C12" s="4">
        <f t="shared" si="0"/>
        <v>0.78539816339744828</v>
      </c>
      <c r="D12" s="4">
        <f t="shared" si="1"/>
        <v>0.47827900290072439</v>
      </c>
      <c r="E12" s="4">
        <f t="shared" si="2"/>
        <v>26.274142369088182</v>
      </c>
      <c r="F12" s="4">
        <f t="shared" si="3"/>
        <v>14.195285488505608</v>
      </c>
    </row>
    <row r="13" spans="2:6" x14ac:dyDescent="0.3">
      <c r="B13" s="3">
        <v>50</v>
      </c>
      <c r="C13" s="4">
        <f t="shared" si="0"/>
        <v>0.87266462599716477</v>
      </c>
      <c r="D13" s="4">
        <f t="shared" si="1"/>
        <v>0.58868553588846173</v>
      </c>
      <c r="E13" s="4">
        <f t="shared" si="2"/>
        <v>21.346491205009194</v>
      </c>
      <c r="F13" s="4">
        <f t="shared" si="3"/>
        <v>13.29326498773877</v>
      </c>
    </row>
    <row r="14" spans="2:6" x14ac:dyDescent="0.3">
      <c r="B14" s="3">
        <v>55</v>
      </c>
      <c r="C14" s="4">
        <f t="shared" si="0"/>
        <v>0.95993108859688125</v>
      </c>
      <c r="D14" s="4">
        <f t="shared" si="1"/>
        <v>0.70993187284506065</v>
      </c>
      <c r="E14" s="4">
        <f t="shared" si="2"/>
        <v>17.700812000451943</v>
      </c>
      <c r="F14" s="4">
        <f t="shared" si="3"/>
        <v>12.479931894819678</v>
      </c>
    </row>
    <row r="15" spans="2:6" x14ac:dyDescent="0.3">
      <c r="B15" s="3">
        <v>60</v>
      </c>
      <c r="C15" s="4">
        <f t="shared" si="0"/>
        <v>1.0471975511965976</v>
      </c>
      <c r="D15" s="4">
        <f t="shared" si="1"/>
        <v>0.84178721447693272</v>
      </c>
      <c r="E15" s="4">
        <f t="shared" si="2"/>
        <v>14.928203230275512</v>
      </c>
      <c r="F15" s="4">
        <f t="shared" si="3"/>
        <v>11.740075388613217</v>
      </c>
    </row>
    <row r="16" spans="2:6" x14ac:dyDescent="0.3">
      <c r="B16" s="3">
        <v>65</v>
      </c>
      <c r="C16" s="4">
        <f t="shared" si="0"/>
        <v>1.1344640137963142</v>
      </c>
      <c r="D16" s="4">
        <f t="shared" si="1"/>
        <v>0.98400056664711488</v>
      </c>
      <c r="E16" s="4">
        <f t="shared" si="2"/>
        <v>12.770694489717464</v>
      </c>
      <c r="F16" s="4">
        <f t="shared" si="3"/>
        <v>11.062145154976202</v>
      </c>
    </row>
    <row r="17" spans="2:6" x14ac:dyDescent="0.3">
      <c r="B17" s="3">
        <v>70</v>
      </c>
      <c r="C17" s="4">
        <f t="shared" si="0"/>
        <v>1.2217304763960306</v>
      </c>
      <c r="D17" s="4">
        <f t="shared" si="1"/>
        <v>1.1363012181568712</v>
      </c>
      <c r="E17" s="4">
        <f t="shared" si="2"/>
        <v>11.059013590377345</v>
      </c>
      <c r="F17" s="4">
        <f t="shared" si="3"/>
        <v>10.437163917642774</v>
      </c>
    </row>
    <row r="18" spans="2:6" x14ac:dyDescent="0.3">
      <c r="B18" s="3">
        <v>75</v>
      </c>
      <c r="C18" s="4">
        <f t="shared" si="0"/>
        <v>1.3089969389957472</v>
      </c>
      <c r="D18" s="4">
        <f t="shared" si="1"/>
        <v>1.298399256059851</v>
      </c>
      <c r="E18" s="4">
        <f t="shared" si="2"/>
        <v>9.6783562958079159</v>
      </c>
      <c r="F18" s="4">
        <f t="shared" si="3"/>
        <v>9.8580160604033029</v>
      </c>
    </row>
    <row r="19" spans="2:6" x14ac:dyDescent="0.3">
      <c r="B19" s="3">
        <v>80</v>
      </c>
      <c r="C19" s="4">
        <f t="shared" si="0"/>
        <v>1.3962634015954636</v>
      </c>
      <c r="D19" s="4">
        <f t="shared" si="1"/>
        <v>1.469986117527855</v>
      </c>
      <c r="E19" s="4">
        <f t="shared" si="2"/>
        <v>8.5486321704130308</v>
      </c>
      <c r="F19" s="4">
        <f t="shared" si="3"/>
        <v>9.3189663070896565</v>
      </c>
    </row>
    <row r="20" spans="2:6" x14ac:dyDescent="0.3">
      <c r="B20" s="3">
        <v>85</v>
      </c>
      <c r="C20" s="4">
        <f t="shared" ref="C20:C28" si="4">RADIANS(B20)</f>
        <v>1.4835298641951802</v>
      </c>
      <c r="D20" s="4">
        <f t="shared" ref="D20:D28" si="5">4*PI()*(SIN(C20/4))^2</f>
        <v>1.6507351772177199</v>
      </c>
      <c r="E20" s="4">
        <f t="shared" ref="E20:E28" si="6">4*PI()/D20</f>
        <v>7.6125903099366496</v>
      </c>
      <c r="F20" s="4">
        <f t="shared" ref="F20:F28" si="7">10*LOG10(E20)</f>
        <v>8.8153245780835405</v>
      </c>
    </row>
    <row r="21" spans="2:6" x14ac:dyDescent="0.3">
      <c r="B21" s="3">
        <v>90</v>
      </c>
      <c r="C21" s="4">
        <f t="shared" si="4"/>
        <v>1.5707963267948966</v>
      </c>
      <c r="D21" s="4">
        <f t="shared" si="5"/>
        <v>1.8403023690212201</v>
      </c>
      <c r="E21" s="4">
        <f t="shared" si="6"/>
        <v>6.8284271247461898</v>
      </c>
      <c r="F21" s="4">
        <f t="shared" si="7"/>
        <v>8.3432067883383496</v>
      </c>
    </row>
    <row r="22" spans="2:6" x14ac:dyDescent="0.3">
      <c r="B22" s="3">
        <v>95</v>
      </c>
      <c r="C22" s="4">
        <f t="shared" si="4"/>
        <v>1.6580627893946132</v>
      </c>
      <c r="D22" s="4">
        <f t="shared" si="5"/>
        <v>2.0383268410144635</v>
      </c>
      <c r="E22" s="4">
        <f t="shared" si="6"/>
        <v>6.1650420146088853</v>
      </c>
      <c r="F22" s="4">
        <f t="shared" si="7"/>
        <v>7.899360406479909</v>
      </c>
    </row>
    <row r="23" spans="2:6" x14ac:dyDescent="0.3">
      <c r="B23" s="3">
        <v>100</v>
      </c>
      <c r="C23" s="4">
        <f t="shared" si="4"/>
        <v>1.7453292519943295</v>
      </c>
      <c r="D23" s="4">
        <f t="shared" si="5"/>
        <v>2.2444316423600359</v>
      </c>
      <c r="E23" s="4">
        <f t="shared" si="6"/>
        <v>5.5989099321133899</v>
      </c>
      <c r="F23" s="4">
        <f t="shared" si="7"/>
        <v>7.4810348119372048</v>
      </c>
    </row>
    <row r="24" spans="2:6" x14ac:dyDescent="0.3">
      <c r="B24" s="3">
        <v>105</v>
      </c>
      <c r="C24" s="4">
        <f t="shared" si="4"/>
        <v>1.8325957145940461</v>
      </c>
      <c r="D24" s="4">
        <f t="shared" si="5"/>
        <v>2.4582244408543441</v>
      </c>
      <c r="E24" s="4">
        <f t="shared" si="6"/>
        <v>5.1119704147078577</v>
      </c>
      <c r="F24" s="4">
        <f t="shared" si="7"/>
        <v>7.0858833169840638</v>
      </c>
    </row>
    <row r="25" spans="2:6" x14ac:dyDescent="0.3">
      <c r="B25" s="3">
        <v>110</v>
      </c>
      <c r="C25" s="4">
        <f t="shared" si="4"/>
        <v>1.9198621771937625</v>
      </c>
      <c r="D25" s="4">
        <f t="shared" si="5"/>
        <v>2.6792982697542658</v>
      </c>
      <c r="E25" s="4">
        <f t="shared" si="6"/>
        <v>4.6901723321426649</v>
      </c>
      <c r="F25" s="4">
        <f t="shared" si="7"/>
        <v>6.7118880039602393</v>
      </c>
    </row>
    <row r="26" spans="2:6" x14ac:dyDescent="0.3">
      <c r="B26" s="3">
        <v>115</v>
      </c>
      <c r="C26" s="4">
        <f t="shared" si="4"/>
        <v>2.0071286397934789</v>
      </c>
      <c r="D26" s="4">
        <f t="shared" si="5"/>
        <v>2.9072323024614763</v>
      </c>
      <c r="E26" s="4">
        <f t="shared" si="6"/>
        <v>4.3224514957815927</v>
      </c>
      <c r="F26" s="4">
        <f t="shared" si="7"/>
        <v>6.3573012855496112</v>
      </c>
    </row>
    <row r="27" spans="2:6" x14ac:dyDescent="0.3">
      <c r="B27" s="3">
        <v>120</v>
      </c>
      <c r="C27" s="4">
        <f t="shared" si="4"/>
        <v>2.0943951023931953</v>
      </c>
      <c r="D27" s="4">
        <f t="shared" si="5"/>
        <v>3.1415926535897922</v>
      </c>
      <c r="E27" s="4">
        <f t="shared" si="6"/>
        <v>4.0000000000000009</v>
      </c>
      <c r="F27" s="4">
        <f t="shared" si="7"/>
        <v>6.0205999132796251</v>
      </c>
    </row>
    <row r="28" spans="2:6" x14ac:dyDescent="0.3">
      <c r="B28" s="3">
        <v>125</v>
      </c>
      <c r="C28" s="4">
        <f t="shared" si="4"/>
        <v>2.1816615649929121</v>
      </c>
      <c r="D28" s="4">
        <f t="shared" si="5"/>
        <v>3.3819332048906716</v>
      </c>
      <c r="E28" s="4">
        <f t="shared" si="6"/>
        <v>3.7157358980912836</v>
      </c>
      <c r="F28" s="4">
        <f t="shared" si="7"/>
        <v>5.7004483823934047</v>
      </c>
    </row>
    <row r="29" spans="2:6" x14ac:dyDescent="0.3">
      <c r="B29" s="3">
        <v>130</v>
      </c>
      <c r="C29" s="4">
        <f t="shared" ref="C29:C35" si="8">RADIANS(B29)</f>
        <v>2.2689280275926285</v>
      </c>
      <c r="D29" s="4">
        <f t="shared" ref="D29:D35" si="9">4*PI()*(SIN(C29/4))^2</f>
        <v>3.6277964544646477</v>
      </c>
      <c r="E29" s="4">
        <f t="shared" ref="E29:E35" si="10">4*PI()/D29</f>
        <v>3.4639128110106681</v>
      </c>
      <c r="F29" s="4">
        <f t="shared" ref="F29:F35" si="11">10*LOG10(E29)</f>
        <v>5.3956695200192053</v>
      </c>
    </row>
    <row r="30" spans="2:6" x14ac:dyDescent="0.3">
      <c r="B30" s="3">
        <v>135</v>
      </c>
      <c r="C30" s="4">
        <f t="shared" si="8"/>
        <v>2.3561944901923448</v>
      </c>
      <c r="D30" s="4">
        <f t="shared" si="9"/>
        <v>3.878714387642201</v>
      </c>
      <c r="E30" s="4">
        <f t="shared" si="10"/>
        <v>3.2398288088435501</v>
      </c>
      <c r="F30" s="4">
        <f t="shared" si="11"/>
        <v>5.1052206287982083</v>
      </c>
    </row>
    <row r="31" spans="2:6" x14ac:dyDescent="0.3">
      <c r="B31" s="3">
        <v>140</v>
      </c>
      <c r="C31" s="4">
        <f t="shared" si="8"/>
        <v>2.4434609527920612</v>
      </c>
      <c r="D31" s="4">
        <f t="shared" si="9"/>
        <v>4.134209367876287</v>
      </c>
      <c r="E31" s="4">
        <f t="shared" si="10"/>
        <v>3.0396067291614757</v>
      </c>
      <c r="F31" s="4">
        <f t="shared" si="11"/>
        <v>4.8281739729180542</v>
      </c>
    </row>
    <row r="32" spans="2:6" x14ac:dyDescent="0.3">
      <c r="B32" s="3">
        <v>145</v>
      </c>
      <c r="C32" s="4">
        <f t="shared" si="8"/>
        <v>2.530727415391778</v>
      </c>
      <c r="D32" s="4">
        <f t="shared" si="9"/>
        <v>4.3937950459506459</v>
      </c>
      <c r="E32" s="4">
        <f t="shared" si="10"/>
        <v>2.8600265790595838</v>
      </c>
      <c r="F32" s="4">
        <f t="shared" si="11"/>
        <v>4.5637006917284522</v>
      </c>
    </row>
    <row r="33" spans="2:6" x14ac:dyDescent="0.3">
      <c r="B33" s="3">
        <v>150</v>
      </c>
      <c r="C33" s="4">
        <f t="shared" si="8"/>
        <v>2.6179938779914944</v>
      </c>
      <c r="D33" s="4">
        <f t="shared" si="9"/>
        <v>4.656977285773177</v>
      </c>
      <c r="E33" s="4">
        <f t="shared" si="10"/>
        <v>2.6983963724170996</v>
      </c>
      <c r="F33" s="4">
        <f t="shared" si="11"/>
        <v>4.311057443387587</v>
      </c>
    </row>
    <row r="34" spans="2:6" x14ac:dyDescent="0.3">
      <c r="B34" s="3">
        <v>155</v>
      </c>
      <c r="C34" s="4">
        <f t="shared" si="8"/>
        <v>2.7052603405912108</v>
      </c>
      <c r="D34" s="4">
        <f t="shared" si="9"/>
        <v>4.9232551049920765</v>
      </c>
      <c r="E34" s="4">
        <f t="shared" si="10"/>
        <v>2.5524516496447927</v>
      </c>
      <c r="F34" s="4">
        <f t="shared" si="11"/>
        <v>4.0695752412178994</v>
      </c>
    </row>
    <row r="35" spans="2:6" x14ac:dyDescent="0.3">
      <c r="B35" s="3">
        <v>160</v>
      </c>
      <c r="C35" s="4">
        <f t="shared" si="8"/>
        <v>2.7925268031909272</v>
      </c>
      <c r="D35" s="4">
        <f t="shared" si="9"/>
        <v>5.1921216286442178</v>
      </c>
      <c r="E35" s="4">
        <f t="shared" si="10"/>
        <v>2.4202766254612067</v>
      </c>
      <c r="F35" s="4">
        <f t="shared" si="11"/>
        <v>3.8386500649513033</v>
      </c>
    </row>
    <row r="36" spans="2:6" x14ac:dyDescent="0.3">
      <c r="B36" s="3">
        <v>165</v>
      </c>
      <c r="C36" s="4">
        <f>RADIANS(B36)</f>
        <v>2.8797932657906435</v>
      </c>
      <c r="D36" s="4">
        <f>4*PI()*(SIN(C36/4))^2</f>
        <v>5.4630650540204595</v>
      </c>
      <c r="E36" s="4">
        <f>4*PI()/D36</f>
        <v>2.3002418038407111</v>
      </c>
      <c r="F36" s="4">
        <f>10*LOG10(E36)</f>
        <v>3.6177349191060824</v>
      </c>
    </row>
    <row r="37" spans="2:6" x14ac:dyDescent="0.3">
      <c r="B37" s="3">
        <v>170</v>
      </c>
      <c r="C37" s="4">
        <f t="shared" ref="C37:C42" si="12">RADIANS(B37)</f>
        <v>2.9670597283903604</v>
      </c>
      <c r="D37" s="4">
        <f t="shared" ref="D37:D42" si="13">4*PI()*(SIN(C37/4))^2</f>
        <v>5.7355696249111769</v>
      </c>
      <c r="E37" s="4">
        <f t="shared" ref="E37:E42" si="14">4*PI()/D37</f>
        <v>2.1909542445060599</v>
      </c>
      <c r="F37" s="4">
        <f t="shared" ref="F37:F42" si="15">10*LOG10(E37)</f>
        <v>3.4063330792764805</v>
      </c>
    </row>
    <row r="38" spans="2:6" x14ac:dyDescent="0.3">
      <c r="B38" s="3">
        <v>175</v>
      </c>
      <c r="C38" s="4">
        <f t="shared" si="12"/>
        <v>3.0543261909900767</v>
      </c>
      <c r="D38" s="4">
        <f t="shared" si="13"/>
        <v>6.0091166133775333</v>
      </c>
      <c r="E38" s="4">
        <f t="shared" si="14"/>
        <v>2.0912176319533953</v>
      </c>
      <c r="F38" s="4">
        <f t="shared" si="15"/>
        <v>3.2039923197507991</v>
      </c>
    </row>
    <row r="39" spans="2:6" x14ac:dyDescent="0.3">
      <c r="B39" s="3">
        <v>180</v>
      </c>
      <c r="C39" s="4">
        <f t="shared" si="12"/>
        <v>3.1415926535897931</v>
      </c>
      <c r="D39" s="4">
        <f t="shared" si="13"/>
        <v>6.2831853071795845</v>
      </c>
      <c r="E39" s="4">
        <f t="shared" si="14"/>
        <v>2.0000000000000004</v>
      </c>
      <c r="F39" s="4">
        <f t="shared" si="15"/>
        <v>3.010299956639813</v>
      </c>
    </row>
    <row r="40" spans="2:6" x14ac:dyDescent="0.3">
      <c r="B40" s="3">
        <v>185</v>
      </c>
      <c r="C40" s="4">
        <f t="shared" si="12"/>
        <v>3.2288591161895095</v>
      </c>
      <c r="D40" s="4">
        <f t="shared" si="13"/>
        <v>6.5572540009816391</v>
      </c>
      <c r="E40" s="4">
        <f t="shared" si="14"/>
        <v>1.9164074797892459</v>
      </c>
      <c r="F40" s="4">
        <f t="shared" si="15"/>
        <v>2.8248785725230268</v>
      </c>
    </row>
    <row r="41" spans="2:6" x14ac:dyDescent="0.3">
      <c r="B41" s="3">
        <v>190</v>
      </c>
      <c r="C41" s="4">
        <f t="shared" si="12"/>
        <v>3.3161255787892263</v>
      </c>
      <c r="D41" s="4">
        <f t="shared" si="13"/>
        <v>6.8308009894479973</v>
      </c>
      <c r="E41" s="4">
        <f t="shared" si="14"/>
        <v>1.8396628204761492</v>
      </c>
      <c r="F41" s="4">
        <f t="shared" si="15"/>
        <v>2.6473823136531616</v>
      </c>
    </row>
    <row r="42" spans="2:6" x14ac:dyDescent="0.3">
      <c r="B42" s="3">
        <v>195</v>
      </c>
      <c r="C42" s="4">
        <f t="shared" si="12"/>
        <v>3.4033920413889427</v>
      </c>
      <c r="D42" s="4">
        <f t="shared" si="13"/>
        <v>7.103305560338713</v>
      </c>
      <c r="E42" s="4">
        <f t="shared" si="14"/>
        <v>1.7690877166432861</v>
      </c>
      <c r="F42" s="4">
        <f t="shared" si="15"/>
        <v>2.4774936705879402</v>
      </c>
    </row>
    <row r="43" spans="2:6" x14ac:dyDescent="0.3">
      <c r="B43" s="3">
        <v>200</v>
      </c>
      <c r="C43" s="4">
        <f>RADIANS(B43)</f>
        <v>3.4906585039886591</v>
      </c>
      <c r="D43" s="4">
        <f>4*PI()*(SIN(C43/4))^2</f>
        <v>7.3742489857149529</v>
      </c>
      <c r="E43" s="4">
        <f>4*PI()/D43</f>
        <v>1.7040881910418475</v>
      </c>
      <c r="F43" s="4">
        <f>10*LOG10(E43)</f>
        <v>2.3149206689296116</v>
      </c>
    </row>
    <row r="44" spans="2:6" x14ac:dyDescent="0.3">
      <c r="B44" s="3">
        <v>205</v>
      </c>
      <c r="C44" s="4">
        <f t="shared" ref="C44:C58" si="16">RADIANS(B44)</f>
        <v>3.5779249665883754</v>
      </c>
      <c r="D44" s="4">
        <f t="shared" ref="D44:D58" si="17">4*PI()*(SIN(C44/4))^2</f>
        <v>7.6431155093670951</v>
      </c>
      <c r="E44" s="4">
        <f t="shared" ref="E44:E58" si="18">4*PI()/D44</f>
        <v>1.6441424441326753</v>
      </c>
      <c r="F44" s="4">
        <f t="shared" ref="F44:F58" si="19">10*LOG10(E44)</f>
        <v>2.1593944095397868</v>
      </c>
    </row>
    <row r="45" spans="2:6" x14ac:dyDescent="0.3">
      <c r="B45" s="3">
        <v>210</v>
      </c>
      <c r="C45" s="4">
        <f t="shared" si="16"/>
        <v>3.6651914291880923</v>
      </c>
      <c r="D45" s="4">
        <f t="shared" si="17"/>
        <v>7.9093933285859954</v>
      </c>
      <c r="E45" s="4">
        <f t="shared" si="18"/>
        <v>1.5887907064808635</v>
      </c>
      <c r="F45" s="4">
        <f t="shared" si="19"/>
        <v>2.0106669078380661</v>
      </c>
    </row>
    <row r="46" spans="2:6" x14ac:dyDescent="0.3">
      <c r="B46" s="3">
        <v>215</v>
      </c>
      <c r="C46" s="4">
        <f t="shared" si="16"/>
        <v>3.7524578917878086</v>
      </c>
      <c r="D46" s="4">
        <f t="shared" si="17"/>
        <v>8.1725755684085257</v>
      </c>
      <c r="E46" s="4">
        <f t="shared" si="18"/>
        <v>1.5376267260146321</v>
      </c>
      <c r="F46" s="4">
        <f t="shared" si="19"/>
        <v>1.8685091901060771</v>
      </c>
    </row>
    <row r="47" spans="2:6" x14ac:dyDescent="0.3">
      <c r="B47" s="3">
        <v>220</v>
      </c>
      <c r="C47" s="4">
        <f t="shared" si="16"/>
        <v>3.839724354387525</v>
      </c>
      <c r="D47" s="4">
        <f t="shared" si="17"/>
        <v>8.4321612464828846</v>
      </c>
      <c r="E47" s="4">
        <f t="shared" si="18"/>
        <v>1.4902905965657021</v>
      </c>
      <c r="F47" s="4">
        <f t="shared" si="19"/>
        <v>1.7327096115028409</v>
      </c>
    </row>
    <row r="48" spans="2:6" x14ac:dyDescent="0.3">
      <c r="B48" s="3">
        <v>225</v>
      </c>
      <c r="C48" s="4">
        <f t="shared" si="16"/>
        <v>3.9269908169872414</v>
      </c>
      <c r="D48" s="4">
        <f t="shared" si="17"/>
        <v>8.687656226716971</v>
      </c>
      <c r="E48" s="4">
        <f t="shared" si="18"/>
        <v>1.4464626921716897</v>
      </c>
      <c r="F48" s="4">
        <f t="shared" si="19"/>
        <v>1.603072366062503</v>
      </c>
    </row>
    <row r="49" spans="2:6" x14ac:dyDescent="0.3">
      <c r="B49" s="3">
        <v>230</v>
      </c>
      <c r="C49" s="4">
        <f t="shared" si="16"/>
        <v>4.0142572795869578</v>
      </c>
      <c r="D49" s="4">
        <f t="shared" si="17"/>
        <v>8.9385741598945252</v>
      </c>
      <c r="E49" s="4">
        <f t="shared" si="18"/>
        <v>1.4058585172053275</v>
      </c>
      <c r="F49" s="4">
        <f t="shared" si="19"/>
        <v>1.4794161635324485</v>
      </c>
    </row>
    <row r="50" spans="2:6" x14ac:dyDescent="0.3">
      <c r="B50" s="3">
        <v>235</v>
      </c>
      <c r="C50" s="4">
        <f t="shared" si="16"/>
        <v>4.1015237421866741</v>
      </c>
      <c r="D50" s="4">
        <f t="shared" si="17"/>
        <v>9.1844374094684991</v>
      </c>
      <c r="E50" s="4">
        <f t="shared" si="18"/>
        <v>1.3682243183892941</v>
      </c>
      <c r="F50" s="4">
        <f t="shared" si="19"/>
        <v>1.3615730517084457</v>
      </c>
    </row>
    <row r="51" spans="2:6" x14ac:dyDescent="0.3">
      <c r="B51" s="3">
        <v>240</v>
      </c>
      <c r="C51" s="4">
        <f t="shared" si="16"/>
        <v>4.1887902047863905</v>
      </c>
      <c r="D51" s="4">
        <f t="shared" si="17"/>
        <v>9.4247779607693776</v>
      </c>
      <c r="E51" s="4">
        <f t="shared" si="18"/>
        <v>1.3333333333333335</v>
      </c>
      <c r="F51" s="4">
        <f t="shared" si="19"/>
        <v>1.2493873660829999</v>
      </c>
    </row>
    <row r="52" spans="2:6" x14ac:dyDescent="0.3">
      <c r="B52" s="3">
        <v>245</v>
      </c>
      <c r="C52" s="4">
        <f t="shared" si="16"/>
        <v>4.2760566673861078</v>
      </c>
      <c r="D52" s="4">
        <f t="shared" si="17"/>
        <v>9.6591383118976992</v>
      </c>
      <c r="E52" s="4">
        <f t="shared" si="18"/>
        <v>1.3009825730397164</v>
      </c>
      <c r="F52" s="4">
        <f t="shared" si="19"/>
        <v>1.1427147912624596</v>
      </c>
    </row>
    <row r="53" spans="2:6" x14ac:dyDescent="0.3">
      <c r="B53" s="3">
        <v>250</v>
      </c>
      <c r="C53" s="4">
        <f t="shared" si="16"/>
        <v>4.3633231299858242</v>
      </c>
      <c r="D53" s="4">
        <f t="shared" si="17"/>
        <v>9.8870723446049062</v>
      </c>
      <c r="E53" s="4">
        <f t="shared" si="18"/>
        <v>1.2709900541201444</v>
      </c>
      <c r="F53" s="4">
        <f t="shared" si="19"/>
        <v>1.0414215208222268</v>
      </c>
    </row>
    <row r="54" spans="2:6" x14ac:dyDescent="0.3">
      <c r="B54" s="3">
        <v>255</v>
      </c>
      <c r="C54" s="4">
        <f t="shared" si="16"/>
        <v>4.4505895925855405</v>
      </c>
      <c r="D54" s="4">
        <f t="shared" si="17"/>
        <v>10.10814617350483</v>
      </c>
      <c r="E54" s="4">
        <f t="shared" si="18"/>
        <v>1.2431924112155963</v>
      </c>
      <c r="F54" s="4">
        <f t="shared" si="19"/>
        <v>0.94538350413362549</v>
      </c>
    </row>
    <row r="55" spans="2:6" x14ac:dyDescent="0.3">
      <c r="B55" s="3">
        <v>260</v>
      </c>
      <c r="C55" s="4">
        <f t="shared" si="16"/>
        <v>4.5378560551852569</v>
      </c>
      <c r="D55" s="4">
        <f t="shared" si="17"/>
        <v>10.321938971999137</v>
      </c>
      <c r="E55" s="4">
        <f t="shared" si="18"/>
        <v>1.2174428320539989</v>
      </c>
      <c r="F55" s="4">
        <f t="shared" si="19"/>
        <v>0.85448577027202943</v>
      </c>
    </row>
    <row r="56" spans="2:6" x14ac:dyDescent="0.3">
      <c r="B56" s="3">
        <v>265</v>
      </c>
      <c r="C56" s="4">
        <f t="shared" si="16"/>
        <v>4.6251225177849733</v>
      </c>
      <c r="D56" s="4">
        <f t="shared" si="17"/>
        <v>10.528043773344708</v>
      </c>
      <c r="E56" s="4">
        <f t="shared" si="18"/>
        <v>1.1936092672957133</v>
      </c>
      <c r="F56" s="4">
        <f t="shared" si="19"/>
        <v>0.76862182045287775</v>
      </c>
    </row>
    <row r="57" spans="2:6" x14ac:dyDescent="0.3">
      <c r="B57" s="3">
        <v>270</v>
      </c>
      <c r="C57" s="4">
        <f t="shared" si="16"/>
        <v>4.7123889803846897</v>
      </c>
      <c r="D57" s="4">
        <f t="shared" si="17"/>
        <v>10.726068245337952</v>
      </c>
      <c r="E57" s="4">
        <f t="shared" si="18"/>
        <v>1.1715728752538099</v>
      </c>
      <c r="F57" s="4">
        <f t="shared" si="19"/>
        <v>0.68769308158108722</v>
      </c>
    </row>
    <row r="58" spans="2:6" x14ac:dyDescent="0.3">
      <c r="B58" s="3">
        <v>275</v>
      </c>
      <c r="C58" s="4">
        <f t="shared" si="16"/>
        <v>4.7996554429844061</v>
      </c>
      <c r="D58" s="4">
        <f t="shared" si="17"/>
        <v>10.91563543714145</v>
      </c>
      <c r="E58" s="4">
        <f t="shared" si="18"/>
        <v>1.1512266680875898</v>
      </c>
      <c r="F58" s="4">
        <f t="shared" si="19"/>
        <v>0.61160841447256453</v>
      </c>
    </row>
    <row r="59" spans="2:6" x14ac:dyDescent="0.3">
      <c r="B59" s="3">
        <v>280</v>
      </c>
      <c r="C59" s="4">
        <f t="shared" ref="C59:C75" si="20">RADIANS(B59)</f>
        <v>4.8869219055841224</v>
      </c>
      <c r="D59" s="4">
        <f t="shared" ref="D59:D75" si="21">4*PI()*(SIN(C59/4))^2</f>
        <v>11.096384496831314</v>
      </c>
      <c r="E59" s="4">
        <f t="shared" ref="E59:E75" si="22">4*PI()/D59</f>
        <v>1.1324743314317944</v>
      </c>
      <c r="F59" s="4">
        <f t="shared" ref="F59:F75" si="23">10*LOG10(E59)</f>
        <v>0.54028367114127152</v>
      </c>
    </row>
    <row r="60" spans="2:6" x14ac:dyDescent="0.3">
      <c r="B60" s="3">
        <v>285</v>
      </c>
      <c r="C60" s="4">
        <f t="shared" si="20"/>
        <v>4.9741883681838388</v>
      </c>
      <c r="D60" s="4">
        <f t="shared" si="21"/>
        <v>11.26797135829932</v>
      </c>
      <c r="E60" s="4">
        <f t="shared" si="22"/>
        <v>1.1152291938604839</v>
      </c>
      <c r="F60" s="4">
        <f t="shared" si="23"/>
        <v>0.47364129626390894</v>
      </c>
    </row>
    <row r="61" spans="2:6" x14ac:dyDescent="0.3">
      <c r="B61" s="3">
        <v>290</v>
      </c>
      <c r="C61" s="4">
        <f t="shared" si="20"/>
        <v>5.0614548307835561</v>
      </c>
      <c r="D61" s="4">
        <f t="shared" si="21"/>
        <v>11.430069396202303</v>
      </c>
      <c r="E61" s="4">
        <f t="shared" si="22"/>
        <v>1.0994133262685537</v>
      </c>
      <c r="F61" s="4">
        <f t="shared" si="23"/>
        <v>0.41160996855490417</v>
      </c>
    </row>
    <row r="62" spans="2:6" x14ac:dyDescent="0.3">
      <c r="B62" s="3">
        <v>295</v>
      </c>
      <c r="C62" s="4">
        <f t="shared" si="20"/>
        <v>5.1487212933832724</v>
      </c>
      <c r="D62" s="4">
        <f t="shared" si="21"/>
        <v>11.582370047712059</v>
      </c>
      <c r="E62" s="4">
        <f t="shared" si="22"/>
        <v>1.0849567543252072</v>
      </c>
      <c r="F62" s="4">
        <f t="shared" si="23"/>
        <v>0.35412427832262505</v>
      </c>
    </row>
    <row r="63" spans="2:6" x14ac:dyDescent="0.3">
      <c r="B63" s="3">
        <v>300</v>
      </c>
      <c r="C63" s="4">
        <f t="shared" si="20"/>
        <v>5.2359877559829888</v>
      </c>
      <c r="D63" s="4">
        <f t="shared" si="21"/>
        <v>11.72458339988224</v>
      </c>
      <c r="E63" s="4">
        <f t="shared" si="22"/>
        <v>1.0717967697244908</v>
      </c>
      <c r="F63" s="4">
        <f t="shared" si="23"/>
        <v>0.30112443794602978</v>
      </c>
    </row>
    <row r="64" spans="2:6" x14ac:dyDescent="0.3">
      <c r="B64" s="3">
        <v>305</v>
      </c>
      <c r="C64" s="4">
        <f t="shared" si="20"/>
        <v>5.3232542185827052</v>
      </c>
      <c r="D64" s="4">
        <f t="shared" si="21"/>
        <v>11.856438741514111</v>
      </c>
      <c r="E64" s="4">
        <f t="shared" si="22"/>
        <v>1.059877328118713</v>
      </c>
      <c r="F64" s="4">
        <f t="shared" si="23"/>
        <v>0.25255602242018482</v>
      </c>
    </row>
    <row r="65" spans="2:6" x14ac:dyDescent="0.3">
      <c r="B65" s="3">
        <v>310</v>
      </c>
      <c r="C65" s="4">
        <f t="shared" si="20"/>
        <v>5.4105206811824216</v>
      </c>
      <c r="D65" s="4">
        <f t="shared" si="21"/>
        <v>11.977685078470712</v>
      </c>
      <c r="E65" s="4">
        <f t="shared" si="22"/>
        <v>1.0491485234443669</v>
      </c>
      <c r="F65" s="4">
        <f t="shared" si="23"/>
        <v>0.20836973747806109</v>
      </c>
    </row>
    <row r="66" spans="2:6" x14ac:dyDescent="0.3">
      <c r="B66" s="3">
        <v>315</v>
      </c>
      <c r="C66" s="4">
        <f t="shared" si="20"/>
        <v>5.497787143782138</v>
      </c>
      <c r="D66" s="4">
        <f t="shared" si="21"/>
        <v>12.088091611458449</v>
      </c>
      <c r="E66" s="4">
        <f t="shared" si="22"/>
        <v>1.0395661298965799</v>
      </c>
      <c r="F66" s="4">
        <f t="shared" si="23"/>
        <v>0.1685212131123649</v>
      </c>
    </row>
    <row r="67" spans="2:6" x14ac:dyDescent="0.3">
      <c r="B67" s="3">
        <v>320</v>
      </c>
      <c r="C67" s="4">
        <f t="shared" si="20"/>
        <v>5.5850536063818543</v>
      </c>
      <c r="D67" s="4">
        <f t="shared" si="21"/>
        <v>12.187448175366683</v>
      </c>
      <c r="E67" s="4">
        <f t="shared" si="22"/>
        <v>1.0310912041257636</v>
      </c>
      <c r="F67" s="4">
        <f t="shared" si="23"/>
        <v>0.13297082060129067</v>
      </c>
    </row>
    <row r="68" spans="2:6" x14ac:dyDescent="0.3">
      <c r="B68" s="3">
        <v>325</v>
      </c>
      <c r="C68" s="4">
        <f t="shared" si="20"/>
        <v>5.6723200689815707</v>
      </c>
      <c r="D68" s="4">
        <f t="shared" si="21"/>
        <v>12.275565639328962</v>
      </c>
      <c r="E68" s="4">
        <f t="shared" si="22"/>
        <v>1.023689741358925</v>
      </c>
      <c r="F68" s="4">
        <f t="shared" si="23"/>
        <v>0.10168351139143308</v>
      </c>
    </row>
    <row r="69" spans="2:6" x14ac:dyDescent="0.3">
      <c r="B69" s="3">
        <v>330</v>
      </c>
      <c r="C69" s="4">
        <f t="shared" si="20"/>
        <v>5.7595865315812871</v>
      </c>
      <c r="D69" s="4">
        <f t="shared" si="21"/>
        <v>12.352276266744362</v>
      </c>
      <c r="E69" s="4">
        <f t="shared" si="22"/>
        <v>1.0173323801209992</v>
      </c>
      <c r="F69" s="4">
        <f t="shared" si="23"/>
        <v>7.4628676414398715E-2</v>
      </c>
    </row>
    <row r="70" spans="2:6" x14ac:dyDescent="0.3">
      <c r="B70" s="3">
        <v>335</v>
      </c>
      <c r="C70" s="4">
        <f t="shared" si="20"/>
        <v>5.8468529941810043</v>
      </c>
      <c r="D70" s="4">
        <f t="shared" si="21"/>
        <v>12.417434034573649</v>
      </c>
      <c r="E70" s="4">
        <f t="shared" si="22"/>
        <v>1.0119941510758859</v>
      </c>
      <c r="F70" s="4">
        <f t="shared" si="23"/>
        <v>5.1780024614795472E-2</v>
      </c>
    </row>
    <row r="71" spans="2:6" x14ac:dyDescent="0.3">
      <c r="B71" s="3">
        <v>340</v>
      </c>
      <c r="C71" s="4">
        <f t="shared" si="20"/>
        <v>5.9341194567807207</v>
      </c>
      <c r="D71" s="4">
        <f t="shared" si="21"/>
        <v>12.470914911302435</v>
      </c>
      <c r="E71" s="4">
        <f t="shared" si="22"/>
        <v>1.0076542662455523</v>
      </c>
      <c r="F71" s="4">
        <f t="shared" si="23"/>
        <v>3.3115479650018827E-2</v>
      </c>
    </row>
    <row r="72" spans="2:6" x14ac:dyDescent="0.3">
      <c r="B72" s="3">
        <v>345</v>
      </c>
      <c r="C72" s="4">
        <f t="shared" si="20"/>
        <v>6.0213859193804371</v>
      </c>
      <c r="D72" s="4">
        <f t="shared" si="21"/>
        <v>12.512617093042213</v>
      </c>
      <c r="E72" s="4">
        <f t="shared" si="22"/>
        <v>1.0042959455178126</v>
      </c>
      <c r="F72" s="4">
        <f t="shared" si="23"/>
        <v>1.8617093889341088E-2</v>
      </c>
    </row>
    <row r="73" spans="2:6" x14ac:dyDescent="0.3">
      <c r="B73" s="3">
        <v>350</v>
      </c>
      <c r="C73" s="4">
        <f t="shared" si="20"/>
        <v>6.1086523819801535</v>
      </c>
      <c r="D73" s="4">
        <f t="shared" si="21"/>
        <v>12.542461197319847</v>
      </c>
      <c r="E73" s="4">
        <f t="shared" si="22"/>
        <v>1.0019062779356602</v>
      </c>
      <c r="F73" s="4">
        <f t="shared" si="23"/>
        <v>8.2709789942018632E-3</v>
      </c>
    </row>
    <row r="74" spans="2:6" x14ac:dyDescent="0.3">
      <c r="B74" s="3">
        <v>355</v>
      </c>
      <c r="C74" s="4">
        <f t="shared" si="20"/>
        <v>6.1959188445798699</v>
      </c>
      <c r="D74" s="4">
        <f t="shared" si="21"/>
        <v>12.560390414186612</v>
      </c>
      <c r="E74" s="4">
        <f t="shared" si="22"/>
        <v>1.0004761157874364</v>
      </c>
      <c r="F74" s="4">
        <f t="shared" si="23"/>
        <v>2.0672525055716335E-3</v>
      </c>
    </row>
    <row r="75" spans="2:6" x14ac:dyDescent="0.3">
      <c r="B75" s="3">
        <v>360</v>
      </c>
      <c r="C75" s="4">
        <f t="shared" si="20"/>
        <v>6.2831853071795862</v>
      </c>
      <c r="D75" s="4">
        <f t="shared" si="21"/>
        <v>12.566370614359172</v>
      </c>
      <c r="E75" s="4">
        <f t="shared" si="22"/>
        <v>1</v>
      </c>
      <c r="F75" s="4">
        <f t="shared" si="23"/>
        <v>0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A94A-B1B5-47EA-ADD0-F5EE63EFD73A}">
  <dimension ref="B2:H29"/>
  <sheetViews>
    <sheetView workbookViewId="0">
      <selection activeCell="C6" sqref="C6"/>
    </sheetView>
  </sheetViews>
  <sheetFormatPr defaultRowHeight="14.4" x14ac:dyDescent="0.3"/>
  <cols>
    <col min="2" max="2" width="16.44140625" customWidth="1"/>
    <col min="3" max="3" width="9.109375" customWidth="1"/>
    <col min="4" max="4" width="3.88671875" bestFit="1" customWidth="1"/>
    <col min="6" max="6" width="20.109375" bestFit="1" customWidth="1"/>
    <col min="7" max="7" width="8.5546875" bestFit="1" customWidth="1"/>
    <col min="8" max="8" width="3.88671875" bestFit="1" customWidth="1"/>
    <col min="10" max="10" width="16.6640625" customWidth="1"/>
    <col min="11" max="11" width="8.5546875" bestFit="1" customWidth="1"/>
    <col min="12" max="12" width="3.88671875" bestFit="1" customWidth="1"/>
  </cols>
  <sheetData>
    <row r="2" spans="2:8" x14ac:dyDescent="0.3">
      <c r="B2" s="28" t="s">
        <v>9</v>
      </c>
      <c r="C2" s="28"/>
      <c r="D2" s="28"/>
      <c r="F2" s="28" t="s">
        <v>20</v>
      </c>
      <c r="G2" s="28"/>
      <c r="H2" s="28"/>
    </row>
    <row r="3" spans="2:8" x14ac:dyDescent="0.3">
      <c r="B3" t="s">
        <v>12</v>
      </c>
      <c r="C3" s="5">
        <f>32000000000</f>
        <v>32000000000</v>
      </c>
      <c r="D3" t="s">
        <v>13</v>
      </c>
      <c r="F3" t="s">
        <v>12</v>
      </c>
      <c r="G3" s="5">
        <f>435000000</f>
        <v>435000000</v>
      </c>
      <c r="H3" t="s">
        <v>13</v>
      </c>
    </row>
    <row r="4" spans="2:8" x14ac:dyDescent="0.3">
      <c r="B4" t="s">
        <v>14</v>
      </c>
      <c r="C4">
        <f>(300000000)/C3</f>
        <v>9.3749999999999997E-3</v>
      </c>
      <c r="D4" t="s">
        <v>11</v>
      </c>
      <c r="F4" t="s">
        <v>14</v>
      </c>
      <c r="G4">
        <f>(300000000)/G3</f>
        <v>0.68965517241379315</v>
      </c>
      <c r="H4" t="s">
        <v>11</v>
      </c>
    </row>
    <row r="5" spans="2:8" x14ac:dyDescent="0.3">
      <c r="B5" t="s">
        <v>10</v>
      </c>
      <c r="C5" s="6">
        <v>3.5</v>
      </c>
      <c r="D5" t="s">
        <v>11</v>
      </c>
      <c r="F5" t="s">
        <v>21</v>
      </c>
      <c r="G5" s="6">
        <v>0.3</v>
      </c>
      <c r="H5" t="s">
        <v>11</v>
      </c>
    </row>
    <row r="6" spans="2:8" x14ac:dyDescent="0.3">
      <c r="B6" t="s">
        <v>17</v>
      </c>
      <c r="C6">
        <v>0.6</v>
      </c>
      <c r="F6" t="s">
        <v>22</v>
      </c>
      <c r="G6" s="6">
        <v>0.5</v>
      </c>
    </row>
    <row r="7" spans="2:8" x14ac:dyDescent="0.3">
      <c r="B7" s="27" t="s">
        <v>15</v>
      </c>
      <c r="C7" s="16">
        <f>C6*(PI()*C5/C4)^2</f>
        <v>825362.11738176609</v>
      </c>
      <c r="F7" t="s">
        <v>26</v>
      </c>
      <c r="G7" s="10">
        <f>PI()*G5/G4</f>
        <v>1.3665928043115598</v>
      </c>
    </row>
    <row r="8" spans="2:8" x14ac:dyDescent="0.3">
      <c r="B8" s="27"/>
      <c r="C8" s="8">
        <f>10*LOG10(C7)</f>
        <v>59.166445316729501</v>
      </c>
      <c r="D8" t="s">
        <v>16</v>
      </c>
      <c r="F8" t="s">
        <v>17</v>
      </c>
      <c r="G8">
        <v>0.6</v>
      </c>
    </row>
    <row r="9" spans="2:8" x14ac:dyDescent="0.3">
      <c r="B9" s="26" t="s">
        <v>18</v>
      </c>
      <c r="C9" s="22">
        <f>RADIANS(C10)</f>
        <v>3.2724923474893681E-3</v>
      </c>
      <c r="D9" t="s">
        <v>0</v>
      </c>
      <c r="F9" s="27" t="s">
        <v>15</v>
      </c>
      <c r="G9" s="9">
        <f>10*LOG10(G5^2*G6/G4^3)+20.2</f>
        <v>11.573165204802681</v>
      </c>
    </row>
    <row r="10" spans="2:8" x14ac:dyDescent="0.3">
      <c r="B10" s="26"/>
      <c r="C10" s="23">
        <f>70*C4/C5</f>
        <v>0.1875</v>
      </c>
      <c r="D10" t="s">
        <v>19</v>
      </c>
      <c r="F10" s="27"/>
      <c r="G10" s="8">
        <f>G9+10*LOG10(G8)</f>
        <v>9.354677708639116</v>
      </c>
      <c r="H10" t="s">
        <v>16</v>
      </c>
    </row>
    <row r="11" spans="2:8" x14ac:dyDescent="0.3">
      <c r="F11" s="26" t="s">
        <v>18</v>
      </c>
      <c r="G11" s="7">
        <f>RADIANS(G12)</f>
        <v>0.78221690113074138</v>
      </c>
      <c r="H11" t="s">
        <v>0</v>
      </c>
    </row>
    <row r="12" spans="2:8" x14ac:dyDescent="0.3">
      <c r="F12" s="26"/>
      <c r="G12" s="8">
        <f>16.6/SQRT(G5^2*G6/G4^3)</f>
        <v>44.817727098593473</v>
      </c>
      <c r="H12" t="s">
        <v>19</v>
      </c>
    </row>
    <row r="15" spans="2:8" x14ac:dyDescent="0.3">
      <c r="B15" s="28" t="s">
        <v>23</v>
      </c>
      <c r="C15" s="28"/>
      <c r="D15" s="28"/>
      <c r="F15" s="28" t="s">
        <v>27</v>
      </c>
      <c r="G15" s="28"/>
      <c r="H15" s="28"/>
    </row>
    <row r="16" spans="2:8" x14ac:dyDescent="0.3">
      <c r="B16" t="s">
        <v>12</v>
      </c>
      <c r="C16" s="5">
        <f>8000000000</f>
        <v>8000000000</v>
      </c>
      <c r="D16" t="s">
        <v>13</v>
      </c>
      <c r="F16" t="s">
        <v>12</v>
      </c>
      <c r="G16" s="5">
        <f>8400000000</f>
        <v>8400000000</v>
      </c>
      <c r="H16" t="s">
        <v>13</v>
      </c>
    </row>
    <row r="17" spans="2:8" x14ac:dyDescent="0.3">
      <c r="B17" t="s">
        <v>14</v>
      </c>
      <c r="C17">
        <f>(300000000)/C16</f>
        <v>3.7499999999999999E-2</v>
      </c>
      <c r="D17" t="s">
        <v>11</v>
      </c>
      <c r="F17" s="27" t="s">
        <v>14</v>
      </c>
      <c r="G17">
        <f>(300000000)/G16</f>
        <v>3.5714285714285712E-2</v>
      </c>
      <c r="H17" t="s">
        <v>11</v>
      </c>
    </row>
    <row r="18" spans="2:8" x14ac:dyDescent="0.3">
      <c r="B18" t="s">
        <v>24</v>
      </c>
      <c r="C18" s="6">
        <v>0.11</v>
      </c>
      <c r="D18" t="s">
        <v>11</v>
      </c>
      <c r="F18" s="27"/>
      <c r="G18">
        <f>G17*1000</f>
        <v>35.714285714285715</v>
      </c>
      <c r="H18" t="s">
        <v>39</v>
      </c>
    </row>
    <row r="19" spans="2:8" x14ac:dyDescent="0.3">
      <c r="B19" t="s">
        <v>25</v>
      </c>
      <c r="C19" s="15">
        <f>C18^2/(3*C17)</f>
        <v>0.10755555555555556</v>
      </c>
      <c r="F19" t="s">
        <v>43</v>
      </c>
      <c r="G19" s="6">
        <v>18</v>
      </c>
    </row>
    <row r="20" spans="2:8" x14ac:dyDescent="0.3">
      <c r="B20" t="s">
        <v>17</v>
      </c>
      <c r="C20">
        <v>0.55000000000000004</v>
      </c>
      <c r="F20" t="s">
        <v>45</v>
      </c>
      <c r="G20" s="15">
        <f>G19*G18</f>
        <v>642.85714285714289</v>
      </c>
      <c r="H20" t="s">
        <v>39</v>
      </c>
    </row>
    <row r="21" spans="2:8" x14ac:dyDescent="0.3">
      <c r="B21" s="27" t="s">
        <v>15</v>
      </c>
      <c r="C21" s="9">
        <f>20*LOG10(C18/C17)+7</f>
        <v>16.347228348610123</v>
      </c>
      <c r="F21" t="s">
        <v>44</v>
      </c>
      <c r="G21" s="6">
        <v>12</v>
      </c>
    </row>
    <row r="22" spans="2:8" x14ac:dyDescent="0.3">
      <c r="B22" s="27"/>
      <c r="C22" s="8">
        <f>C21+10*LOG10(C20)</f>
        <v>13.750855243552563</v>
      </c>
      <c r="D22" t="s">
        <v>16</v>
      </c>
      <c r="F22" t="s">
        <v>45</v>
      </c>
      <c r="G22" s="15">
        <f>G21*G18</f>
        <v>428.57142857142856</v>
      </c>
      <c r="H22" t="s">
        <v>39</v>
      </c>
    </row>
    <row r="23" spans="2:8" x14ac:dyDescent="0.3">
      <c r="B23" s="26" t="s">
        <v>18</v>
      </c>
      <c r="C23" s="7">
        <f>RADIANS(C24)</f>
        <v>0.42839899821678995</v>
      </c>
      <c r="D23" t="s">
        <v>0</v>
      </c>
      <c r="F23" t="s">
        <v>40</v>
      </c>
      <c r="G23" s="15">
        <f>G19*G21</f>
        <v>216</v>
      </c>
    </row>
    <row r="24" spans="2:8" x14ac:dyDescent="0.3">
      <c r="B24" s="26"/>
      <c r="C24" s="8">
        <f>72*C17/C18</f>
        <v>24.545454545454543</v>
      </c>
      <c r="D24" t="s">
        <v>19</v>
      </c>
      <c r="F24" t="s">
        <v>41</v>
      </c>
      <c r="G24" s="15">
        <f>(G19*G17)*(G21*G17)</f>
        <v>0.27551020408163263</v>
      </c>
      <c r="H24" t="s">
        <v>42</v>
      </c>
    </row>
    <row r="25" spans="2:8" x14ac:dyDescent="0.3">
      <c r="F25" t="s">
        <v>17</v>
      </c>
      <c r="G25">
        <v>0.6</v>
      </c>
    </row>
    <row r="26" spans="2:8" x14ac:dyDescent="0.3">
      <c r="F26" s="27" t="s">
        <v>15</v>
      </c>
      <c r="G26" s="9">
        <f>10*LOG10(G24/G17^2)+8</f>
        <v>31.344537511509309</v>
      </c>
    </row>
    <row r="27" spans="2:8" x14ac:dyDescent="0.3">
      <c r="F27" s="27"/>
      <c r="G27" s="8">
        <f>G26+10*LOG10(G25)</f>
        <v>29.126050015345744</v>
      </c>
      <c r="H27" t="s">
        <v>16</v>
      </c>
    </row>
    <row r="28" spans="2:8" x14ac:dyDescent="0.3">
      <c r="F28" s="26" t="s">
        <v>18</v>
      </c>
      <c r="G28" s="7">
        <f>RADIANS(G29)</f>
        <v>3.7399912542735642E-2</v>
      </c>
      <c r="H28" t="s">
        <v>0</v>
      </c>
    </row>
    <row r="29" spans="2:8" x14ac:dyDescent="0.3">
      <c r="F29" s="26"/>
      <c r="G29" s="8">
        <f>72*AVERAGE(G20,G22)/1000/G19</f>
        <v>2.1428571428571432</v>
      </c>
      <c r="H29" t="s">
        <v>19</v>
      </c>
    </row>
  </sheetData>
  <mergeCells count="13">
    <mergeCell ref="F28:F29"/>
    <mergeCell ref="F17:F18"/>
    <mergeCell ref="F11:F12"/>
    <mergeCell ref="B2:D2"/>
    <mergeCell ref="B7:B8"/>
    <mergeCell ref="B9:B10"/>
    <mergeCell ref="F2:H2"/>
    <mergeCell ref="F9:F10"/>
    <mergeCell ref="B15:D15"/>
    <mergeCell ref="B21:B22"/>
    <mergeCell ref="B23:B24"/>
    <mergeCell ref="F15:H15"/>
    <mergeCell ref="F26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1560-DA2E-4206-BF7F-4253DD055C1A}">
  <dimension ref="C2:D6"/>
  <sheetViews>
    <sheetView tabSelected="1" workbookViewId="0">
      <selection activeCell="C9" sqref="C9"/>
    </sheetView>
  </sheetViews>
  <sheetFormatPr defaultRowHeight="14.4" x14ac:dyDescent="0.3"/>
  <sheetData>
    <row r="2" spans="3:4" x14ac:dyDescent="0.3">
      <c r="C2">
        <v>4.5</v>
      </c>
      <c r="D2">
        <v>3.56</v>
      </c>
    </row>
    <row r="3" spans="3:4" x14ac:dyDescent="0.3">
      <c r="C3">
        <v>4.25</v>
      </c>
      <c r="D3">
        <v>3.33</v>
      </c>
    </row>
    <row r="4" spans="3:4" x14ac:dyDescent="0.3">
      <c r="C4">
        <v>4</v>
      </c>
      <c r="D4">
        <v>3.11</v>
      </c>
    </row>
    <row r="5" spans="3:4" x14ac:dyDescent="0.3">
      <c r="C5">
        <v>3.75</v>
      </c>
      <c r="D5">
        <v>2.97</v>
      </c>
    </row>
    <row r="6" spans="3:4" x14ac:dyDescent="0.3">
      <c r="C6">
        <v>3.5</v>
      </c>
      <c r="D6">
        <v>2.85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C831-1FA5-4060-BDC0-7C643AE7CD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F01C-158B-44EA-A1C7-409EF8005D29}">
  <dimension ref="B2:E10"/>
  <sheetViews>
    <sheetView workbookViewId="0">
      <selection activeCell="E24" sqref="E24"/>
    </sheetView>
  </sheetViews>
  <sheetFormatPr defaultRowHeight="14.4" x14ac:dyDescent="0.3"/>
  <cols>
    <col min="2" max="2" width="30" bestFit="1" customWidth="1"/>
    <col min="3" max="3" width="7.33203125" bestFit="1" customWidth="1"/>
    <col min="4" max="4" width="6.6640625" bestFit="1" customWidth="1"/>
    <col min="5" max="5" width="5.21875" bestFit="1" customWidth="1"/>
    <col min="6" max="6" width="15.44140625" bestFit="1" customWidth="1"/>
    <col min="7" max="7" width="15.88671875" bestFit="1" customWidth="1"/>
    <col min="8" max="8" width="11.77734375" bestFit="1" customWidth="1"/>
    <col min="9" max="9" width="15.88671875" bestFit="1" customWidth="1"/>
    <col min="10" max="10" width="27.6640625" bestFit="1" customWidth="1"/>
  </cols>
  <sheetData>
    <row r="2" spans="2:5" ht="28.8" x14ac:dyDescent="0.3">
      <c r="B2" s="21" t="s">
        <v>59</v>
      </c>
      <c r="C2" s="18" t="s">
        <v>46</v>
      </c>
      <c r="D2" s="18" t="s">
        <v>47</v>
      </c>
      <c r="E2" s="19"/>
    </row>
    <row r="3" spans="2:5" x14ac:dyDescent="0.3">
      <c r="B3" s="17" t="s">
        <v>57</v>
      </c>
      <c r="C3" s="20">
        <v>10</v>
      </c>
      <c r="D3" s="20">
        <v>3</v>
      </c>
      <c r="E3" s="3" t="s">
        <v>58</v>
      </c>
    </row>
    <row r="4" spans="2:5" x14ac:dyDescent="0.3">
      <c r="B4" s="17" t="s">
        <v>50</v>
      </c>
      <c r="C4" s="3">
        <v>25</v>
      </c>
      <c r="D4" s="3">
        <v>100</v>
      </c>
      <c r="E4" s="3" t="s">
        <v>48</v>
      </c>
    </row>
    <row r="5" spans="2:5" x14ac:dyDescent="0.3">
      <c r="B5" s="17" t="s">
        <v>51</v>
      </c>
      <c r="C5" s="30">
        <v>4</v>
      </c>
      <c r="D5" s="30"/>
      <c r="E5" s="3" t="s">
        <v>58</v>
      </c>
    </row>
    <row r="6" spans="2:5" x14ac:dyDescent="0.3">
      <c r="B6" s="17" t="s">
        <v>49</v>
      </c>
      <c r="C6" s="31">
        <f>C3*C4*C5+D3*D4*C5</f>
        <v>2200</v>
      </c>
      <c r="D6" s="31"/>
      <c r="E6" s="3" t="s">
        <v>48</v>
      </c>
    </row>
    <row r="7" spans="2:5" x14ac:dyDescent="0.3">
      <c r="B7" s="17" t="s">
        <v>52</v>
      </c>
      <c r="C7" s="31">
        <v>290</v>
      </c>
      <c r="D7" s="31"/>
      <c r="E7" s="3" t="s">
        <v>48</v>
      </c>
    </row>
    <row r="8" spans="2:5" x14ac:dyDescent="0.3">
      <c r="B8" s="17" t="s">
        <v>53</v>
      </c>
      <c r="C8" s="30">
        <v>2</v>
      </c>
      <c r="D8" s="30"/>
      <c r="E8" s="3" t="s">
        <v>58</v>
      </c>
    </row>
    <row r="9" spans="2:5" x14ac:dyDescent="0.3">
      <c r="B9" s="17" t="s">
        <v>54</v>
      </c>
      <c r="C9" s="31">
        <f>C8*C7*C5</f>
        <v>2320</v>
      </c>
      <c r="D9" s="31"/>
      <c r="E9" s="3" t="s">
        <v>48</v>
      </c>
    </row>
    <row r="10" spans="2:5" x14ac:dyDescent="0.3">
      <c r="B10" s="17" t="s">
        <v>55</v>
      </c>
      <c r="C10" s="29">
        <f>1000*(C9/C8)/86400</f>
        <v>13.425925925925926</v>
      </c>
      <c r="D10" s="29"/>
      <c r="E10" s="3" t="s">
        <v>56</v>
      </c>
    </row>
  </sheetData>
  <mergeCells count="6">
    <mergeCell ref="C10:D10"/>
    <mergeCell ref="C5:D5"/>
    <mergeCell ref="C6:D6"/>
    <mergeCell ref="C7:D7"/>
    <mergeCell ref="C8:D8"/>
    <mergeCell ref="C9:D9"/>
  </mergeCells>
  <conditionalFormatting sqref="C6:D6 C9:D9">
    <cfRule type="expression" dxfId="1" priority="1">
      <formula>$C$9&lt;$C$6</formula>
    </cfRule>
    <cfRule type="expression" dxfId="0" priority="2">
      <formula>$C$9&gt;$C$6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C12D-5775-4072-95A1-117E97439760}">
  <dimension ref="D7:E18"/>
  <sheetViews>
    <sheetView topLeftCell="A4" workbookViewId="0">
      <selection activeCell="K27" sqref="K27"/>
    </sheetView>
  </sheetViews>
  <sheetFormatPr defaultRowHeight="14.4" x14ac:dyDescent="0.3"/>
  <cols>
    <col min="4" max="4" width="12.21875" bestFit="1" customWidth="1"/>
  </cols>
  <sheetData>
    <row r="7" spans="4:5" x14ac:dyDescent="0.3">
      <c r="D7" t="s">
        <v>61</v>
      </c>
      <c r="E7" t="s">
        <v>60</v>
      </c>
    </row>
    <row r="8" spans="4:5" x14ac:dyDescent="0.3">
      <c r="D8">
        <v>-0.14000000000000001</v>
      </c>
      <c r="E8">
        <v>-3</v>
      </c>
    </row>
    <row r="9" spans="4:5" x14ac:dyDescent="0.3">
      <c r="D9">
        <v>0</v>
      </c>
      <c r="E9">
        <v>0</v>
      </c>
    </row>
    <row r="10" spans="4:5" x14ac:dyDescent="0.3">
      <c r="D10">
        <v>0.14000000000000001</v>
      </c>
      <c r="E10">
        <v>-3</v>
      </c>
    </row>
    <row r="18" spans="4:5" x14ac:dyDescent="0.3">
      <c r="D18">
        <v>0.08</v>
      </c>
      <c r="E18">
        <f>RADIANS(D18)</f>
        <v>1.3962634015954637E-3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Coverage vs Angle</vt:lpstr>
      <vt:lpstr>Directivity</vt:lpstr>
      <vt:lpstr>Antennas</vt:lpstr>
      <vt:lpstr>Sheet2</vt:lpstr>
      <vt:lpstr>Sheet1</vt:lpstr>
      <vt:lpstr>Waterfall</vt:lpstr>
      <vt:lpstr>Pointing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Campbell</dc:creator>
  <cp:lastModifiedBy>Lyle Campbell</cp:lastModifiedBy>
  <dcterms:created xsi:type="dcterms:W3CDTF">2020-05-10T12:45:20Z</dcterms:created>
  <dcterms:modified xsi:type="dcterms:W3CDTF">2020-06-02T20:07:51Z</dcterms:modified>
</cp:coreProperties>
</file>