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le\Documents\GitHub\Telecomm\"/>
    </mc:Choice>
  </mc:AlternateContent>
  <xr:revisionPtr revIDLastSave="0" documentId="13_ncr:1_{B4A320FF-EF0F-46F0-81B6-E4780AA8BA86}" xr6:coauthVersionLast="45" xr6:coauthVersionMax="45" xr10:uidLastSave="{00000000-0000-0000-0000-000000000000}"/>
  <bookViews>
    <workbookView xWindow="-108" yWindow="-108" windowWidth="23256" windowHeight="12576" xr2:uid="{46D0ED4A-3E49-4B22-97B2-264D5A6B40FB}"/>
  </bookViews>
  <sheets>
    <sheet name="Mars-Mars" sheetId="1" r:id="rId1"/>
    <sheet name="Mars Eclipse" sheetId="5" r:id="rId2"/>
    <sheet name="Sheet1" sheetId="4" r:id="rId3"/>
    <sheet name="Earth-Mars" sheetId="2" r:id="rId4"/>
    <sheet name="Mars Captur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5" l="1"/>
  <c r="E30" i="5"/>
  <c r="F30" i="5" s="1"/>
  <c r="D31" i="5"/>
  <c r="E31" i="5"/>
  <c r="F31" i="5" s="1"/>
  <c r="D32" i="5"/>
  <c r="E32" i="5"/>
  <c r="F32" i="5" s="1"/>
  <c r="D33" i="5"/>
  <c r="E33" i="5"/>
  <c r="F33" i="5"/>
  <c r="D34" i="5"/>
  <c r="E34" i="5"/>
  <c r="F34" i="5"/>
  <c r="D35" i="5"/>
  <c r="E35" i="5"/>
  <c r="F35" i="5"/>
  <c r="D36" i="5"/>
  <c r="E36" i="5"/>
  <c r="F36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5" i="5"/>
  <c r="F5" i="5" s="1"/>
  <c r="D2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5" i="5"/>
  <c r="C5" i="3" l="1"/>
  <c r="C8" i="3"/>
  <c r="C10" i="3" s="1"/>
  <c r="G7" i="2"/>
  <c r="C10" i="2"/>
  <c r="G10" i="2" s="1"/>
  <c r="C4" i="2"/>
  <c r="C9" i="3" l="1"/>
  <c r="G13" i="1"/>
  <c r="G14" i="1" s="1"/>
  <c r="G16" i="1" s="1"/>
  <c r="G7" i="1"/>
  <c r="G8" i="1" s="1"/>
  <c r="K14" i="1"/>
  <c r="K16" i="1" s="1"/>
  <c r="K8" i="1"/>
  <c r="K10" i="1" s="1"/>
  <c r="C14" i="1"/>
  <c r="C16" i="1" s="1"/>
  <c r="C8" i="1"/>
  <c r="C10" i="1" s="1"/>
  <c r="C4" i="1"/>
  <c r="C11" i="3" l="1"/>
  <c r="C15" i="3"/>
  <c r="C16" i="3" s="1"/>
  <c r="C14" i="2"/>
  <c r="C13" i="2"/>
  <c r="G13" i="2"/>
  <c r="K13" i="2"/>
  <c r="K14" i="2"/>
  <c r="G14" i="2"/>
  <c r="G20" i="1"/>
  <c r="K20" i="1"/>
  <c r="K19" i="1"/>
  <c r="G10" i="1"/>
  <c r="G19" i="1"/>
  <c r="K15" i="2" l="1"/>
  <c r="K16" i="2" s="1"/>
  <c r="K17" i="2"/>
  <c r="K18" i="2" s="1"/>
  <c r="G17" i="2"/>
  <c r="G18" i="2" s="1"/>
  <c r="G15" i="2"/>
  <c r="G16" i="2" s="1"/>
  <c r="C17" i="2"/>
  <c r="C18" i="2" s="1"/>
  <c r="C15" i="2"/>
  <c r="C16" i="2" s="1"/>
  <c r="K23" i="1"/>
  <c r="K24" i="1" s="1"/>
  <c r="K21" i="1"/>
  <c r="K22" i="1" s="1"/>
  <c r="G21" i="1"/>
  <c r="G22" i="1" s="1"/>
  <c r="G23" i="1"/>
  <c r="G24" i="1" s="1"/>
  <c r="C19" i="1"/>
  <c r="C23" i="1" s="1"/>
  <c r="C20" i="1"/>
  <c r="G8" i="2" l="1"/>
  <c r="G11" i="2"/>
  <c r="C8" i="2"/>
  <c r="C11" i="2"/>
  <c r="K8" i="2"/>
  <c r="K11" i="2"/>
  <c r="K9" i="1"/>
  <c r="K15" i="1"/>
  <c r="K17" i="1" s="1"/>
  <c r="G9" i="1"/>
  <c r="G11" i="1" s="1"/>
  <c r="G15" i="1"/>
  <c r="C24" i="1"/>
  <c r="C21" i="1"/>
  <c r="G21" i="2" l="1"/>
  <c r="G20" i="2"/>
  <c r="C22" i="1"/>
  <c r="C15" i="1" s="1"/>
  <c r="C17" i="1" s="1"/>
  <c r="G17" i="1"/>
  <c r="G27" i="1"/>
  <c r="K11" i="1"/>
  <c r="G22" i="2" l="1"/>
  <c r="C9" i="1"/>
  <c r="C11" i="1" s="1"/>
  <c r="G26" i="1"/>
  <c r="G28" i="1" s="1"/>
</calcChain>
</file>

<file path=xl/sharedStrings.xml><?xml version="1.0" encoding="utf-8"?>
<sst xmlns="http://schemas.openxmlformats.org/spreadsheetml/2006/main" count="214" uniqueCount="64">
  <si>
    <t>r_Per</t>
  </si>
  <si>
    <t>r_Apo</t>
  </si>
  <si>
    <t>mu</t>
  </si>
  <si>
    <t>km3/s2</t>
  </si>
  <si>
    <t>Mars Properties</t>
  </si>
  <si>
    <t>R</t>
  </si>
  <si>
    <t>h_Apo</t>
  </si>
  <si>
    <t>km</t>
  </si>
  <si>
    <t>h_Per</t>
  </si>
  <si>
    <t>a</t>
  </si>
  <si>
    <t>T</t>
  </si>
  <si>
    <t>s</t>
  </si>
  <si>
    <t>hrs</t>
  </si>
  <si>
    <t>e</t>
  </si>
  <si>
    <t>v_Apo</t>
  </si>
  <si>
    <t>P</t>
  </si>
  <si>
    <t>h</t>
  </si>
  <si>
    <t>km2/s</t>
  </si>
  <si>
    <t>km/s</t>
  </si>
  <si>
    <t>v_Per</t>
  </si>
  <si>
    <t>v_inf_
Per</t>
  </si>
  <si>
    <t>v_inf_Apo</t>
  </si>
  <si>
    <t>Δv1</t>
  </si>
  <si>
    <t>Δv2</t>
  </si>
  <si>
    <t>Δtot</t>
  </si>
  <si>
    <t>Δv_esc_Apo</t>
  </si>
  <si>
    <t>Δv_esc_Per</t>
  </si>
  <si>
    <t>SOI</t>
  </si>
  <si>
    <t>Orbit 1 (Small)</t>
  </si>
  <si>
    <t>Orbit 2 (Large)</t>
  </si>
  <si>
    <t>Sun Properties</t>
  </si>
  <si>
    <t>-</t>
  </si>
  <si>
    <t>Orbit 1 (Earth)</t>
  </si>
  <si>
    <t>Orbit 2 (Mars)</t>
  </si>
  <si>
    <t>v_inf</t>
  </si>
  <si>
    <t>r_inf</t>
  </si>
  <si>
    <t>Δv1 (Earth)</t>
  </si>
  <si>
    <t>Δv2 (Mars)</t>
  </si>
  <si>
    <t>peri_capture</t>
  </si>
  <si>
    <t>h_capture</t>
  </si>
  <si>
    <t>ener_inf</t>
  </si>
  <si>
    <t>MJ/kg</t>
  </si>
  <si>
    <t>v_peri</t>
  </si>
  <si>
    <t>v_esc_@peri</t>
  </si>
  <si>
    <t>Δv1 cap min</t>
  </si>
  <si>
    <t>mu mars</t>
  </si>
  <si>
    <t>r_inf = SOI</t>
  </si>
  <si>
    <t>time in SOI</t>
  </si>
  <si>
    <t>days</t>
  </si>
  <si>
    <t>(Hohmann) Transfer Orbit</t>
  </si>
  <si>
    <t>(very! rough)</t>
  </si>
  <si>
    <t>Note this the minimum delta V to simply be captured in a near-parabolic trajectory</t>
  </si>
  <si>
    <t>Orbit Adjustment and Station-Keeping</t>
  </si>
  <si>
    <t>Attitude Control</t>
  </si>
  <si>
    <t>Thrust</t>
  </si>
  <si>
    <t>0.1 - 0.5N</t>
  </si>
  <si>
    <t>0.01 - 0.05N</t>
  </si>
  <si>
    <t>Power</t>
  </si>
  <si>
    <t>Motor Mass</t>
  </si>
  <si>
    <t>Propellant Mass</t>
  </si>
  <si>
    <t>Orbit SMA</t>
  </si>
  <si>
    <t>Circumference</t>
  </si>
  <si>
    <t>Mars diam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</si>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</sst>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2" borderId="0" xfId="0" applyFill="1" applyBorder="1" applyAlignment="1">
      <alignment horizontal="right"/>
    </xf>
    <xf numFmtId="0" fontId="0" fillId="0" borderId="5" xfId="0" applyBorder="1"/>
    <xf numFmtId="2" fontId="0" fillId="2" borderId="0" xfId="0" applyNumberFormat="1" applyFill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164" fontId="0" fillId="0" borderId="0" xfId="0" applyNumberFormat="1" applyBorder="1"/>
    <xf numFmtId="1" fontId="0" fillId="0" borderId="0" xfId="0" applyNumberFormat="1" applyBorder="1"/>
    <xf numFmtId="2" fontId="0" fillId="2" borderId="7" xfId="0" applyNumberFormat="1" applyFill="1" applyBorder="1"/>
    <xf numFmtId="0" fontId="0" fillId="0" borderId="8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6" xfId="0" applyBorder="1"/>
    <xf numFmtId="0" fontId="0" fillId="3" borderId="7" xfId="0" applyFill="1" applyBorder="1"/>
    <xf numFmtId="0" fontId="2" fillId="0" borderId="1" xfId="0" applyFont="1" applyBorder="1"/>
    <xf numFmtId="2" fontId="0" fillId="0" borderId="2" xfId="0" applyNumberFormat="1" applyBorder="1"/>
    <xf numFmtId="0" fontId="0" fillId="0" borderId="3" xfId="0" applyBorder="1"/>
    <xf numFmtId="0" fontId="2" fillId="0" borderId="4" xfId="0" applyFont="1" applyBorder="1"/>
    <xf numFmtId="2" fontId="0" fillId="0" borderId="0" xfId="0" applyNumberFormat="1" applyBorder="1"/>
    <xf numFmtId="0" fontId="2" fillId="0" borderId="6" xfId="0" applyFont="1" applyBorder="1"/>
    <xf numFmtId="2" fontId="0" fillId="0" borderId="7" xfId="0" applyNumberFormat="1" applyBorder="1"/>
    <xf numFmtId="11" fontId="0" fillId="3" borderId="0" xfId="0" applyNumberFormat="1" applyFill="1" applyBorder="1"/>
    <xf numFmtId="11" fontId="0" fillId="2" borderId="0" xfId="0" applyNumberFormat="1" applyFill="1" applyBorder="1" applyAlignment="1">
      <alignment horizontal="right"/>
    </xf>
    <xf numFmtId="11" fontId="0" fillId="2" borderId="0" xfId="0" applyNumberFormat="1" applyFill="1" applyBorder="1"/>
    <xf numFmtId="165" fontId="0" fillId="0" borderId="0" xfId="0" applyNumberFormat="1"/>
    <xf numFmtId="2" fontId="0" fillId="0" borderId="0" xfId="0" applyNumberFormat="1"/>
    <xf numFmtId="0" fontId="0" fillId="5" borderId="0" xfId="0" applyFill="1"/>
    <xf numFmtId="165" fontId="0" fillId="0" borderId="0" xfId="0" applyNumberFormat="1" applyFill="1" applyBorder="1" applyAlignment="1">
      <alignment horizontal="right"/>
    </xf>
    <xf numFmtId="164" fontId="0" fillId="2" borderId="0" xfId="0" applyNumberFormat="1" applyFill="1"/>
    <xf numFmtId="164" fontId="0" fillId="0" borderId="0" xfId="0" applyNumberFormat="1"/>
    <xf numFmtId="11" fontId="0" fillId="3" borderId="0" xfId="0" applyNumberFormat="1" applyFill="1" applyBorder="1" applyAlignment="1">
      <alignment horizontal="right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ED5C-3C54-4484-BB8E-7F90652302E5}">
  <dimension ref="B1:L28"/>
  <sheetViews>
    <sheetView tabSelected="1" workbookViewId="0">
      <selection activeCell="E26" sqref="E26"/>
    </sheetView>
  </sheetViews>
  <sheetFormatPr defaultRowHeight="14.4" x14ac:dyDescent="0.3"/>
  <cols>
    <col min="2" max="2" width="10.88671875" bestFit="1" customWidth="1"/>
    <col min="6" max="6" width="10.88671875" bestFit="1" customWidth="1"/>
    <col min="10" max="10" width="10.88671875" bestFit="1" customWidth="1"/>
  </cols>
  <sheetData>
    <row r="1" spans="2:12" ht="15" thickBot="1" x14ac:dyDescent="0.35">
      <c r="B1" s="35" t="s">
        <v>4</v>
      </c>
      <c r="C1" s="36"/>
      <c r="D1" s="37"/>
    </row>
    <row r="2" spans="2:12" x14ac:dyDescent="0.3">
      <c r="B2" s="3" t="s">
        <v>2</v>
      </c>
      <c r="C2" s="8">
        <v>42828</v>
      </c>
      <c r="D2" s="5" t="s">
        <v>3</v>
      </c>
    </row>
    <row r="3" spans="2:12" x14ac:dyDescent="0.3">
      <c r="B3" s="3" t="s">
        <v>27</v>
      </c>
      <c r="C3" s="8">
        <v>578600</v>
      </c>
      <c r="D3" s="5" t="s">
        <v>7</v>
      </c>
    </row>
    <row r="4" spans="2:12" ht="15" thickBot="1" x14ac:dyDescent="0.35">
      <c r="B4" s="16" t="s">
        <v>5</v>
      </c>
      <c r="C4" s="17">
        <f>6792/2</f>
        <v>3396</v>
      </c>
      <c r="D4" s="13" t="s">
        <v>7</v>
      </c>
    </row>
    <row r="5" spans="2:12" ht="15" thickBot="1" x14ac:dyDescent="0.35"/>
    <row r="6" spans="2:12" ht="15" thickBot="1" x14ac:dyDescent="0.35">
      <c r="B6" s="35" t="s">
        <v>28</v>
      </c>
      <c r="C6" s="36"/>
      <c r="D6" s="37"/>
      <c r="F6" s="35" t="s">
        <v>49</v>
      </c>
      <c r="G6" s="36"/>
      <c r="H6" s="37"/>
      <c r="J6" s="35" t="s">
        <v>29</v>
      </c>
      <c r="K6" s="36"/>
      <c r="L6" s="37"/>
    </row>
    <row r="7" spans="2:12" x14ac:dyDescent="0.3">
      <c r="B7" s="1" t="s">
        <v>6</v>
      </c>
      <c r="C7" s="34">
        <v>7000</v>
      </c>
      <c r="D7" s="2" t="s">
        <v>7</v>
      </c>
      <c r="F7" s="1" t="s">
        <v>6</v>
      </c>
      <c r="G7" s="14">
        <f>K7</f>
        <v>10000</v>
      </c>
      <c r="H7" s="2" t="s">
        <v>7</v>
      </c>
      <c r="J7" s="1" t="s">
        <v>6</v>
      </c>
      <c r="K7" s="34">
        <v>10000</v>
      </c>
      <c r="L7" s="2" t="s">
        <v>7</v>
      </c>
    </row>
    <row r="8" spans="2:12" x14ac:dyDescent="0.3">
      <c r="B8" s="3" t="s">
        <v>1</v>
      </c>
      <c r="C8" s="4">
        <f>C7+$C$4</f>
        <v>10396</v>
      </c>
      <c r="D8" s="5" t="s">
        <v>7</v>
      </c>
      <c r="F8" s="3" t="s">
        <v>1</v>
      </c>
      <c r="G8" s="4">
        <f>G7+$C$4</f>
        <v>13396</v>
      </c>
      <c r="H8" s="5" t="s">
        <v>7</v>
      </c>
      <c r="J8" s="3" t="s">
        <v>1</v>
      </c>
      <c r="K8" s="4">
        <f>K7+$C$4</f>
        <v>13396</v>
      </c>
      <c r="L8" s="5" t="s">
        <v>7</v>
      </c>
    </row>
    <row r="9" spans="2:12" x14ac:dyDescent="0.3">
      <c r="B9" s="3" t="s">
        <v>14</v>
      </c>
      <c r="C9" s="6">
        <f>$C$2/C$22*(1-C$20)</f>
        <v>2.0296949052096318</v>
      </c>
      <c r="D9" s="5" t="s">
        <v>18</v>
      </c>
      <c r="F9" s="3" t="s">
        <v>14</v>
      </c>
      <c r="G9" s="6">
        <f>$C$2/G$22*(1-G$20)</f>
        <v>1.671510023371543</v>
      </c>
      <c r="H9" s="5" t="s">
        <v>18</v>
      </c>
      <c r="J9" s="3" t="s">
        <v>14</v>
      </c>
      <c r="K9" s="6">
        <f>$C$2/K$22*(1-K$20)</f>
        <v>1.7880362841282644</v>
      </c>
      <c r="L9" s="5" t="s">
        <v>18</v>
      </c>
    </row>
    <row r="10" spans="2:12" x14ac:dyDescent="0.3">
      <c r="B10" s="3" t="s">
        <v>21</v>
      </c>
      <c r="C10" s="6">
        <f>SQRT(2*$C$2/C8)</f>
        <v>2.8704220624270347</v>
      </c>
      <c r="D10" s="5" t="s">
        <v>18</v>
      </c>
      <c r="F10" s="3" t="s">
        <v>21</v>
      </c>
      <c r="G10" s="6">
        <f>SQRT(2*$C$2/G8)</f>
        <v>2.5286651630293844</v>
      </c>
      <c r="H10" s="5" t="s">
        <v>18</v>
      </c>
      <c r="J10" s="3" t="s">
        <v>21</v>
      </c>
      <c r="K10" s="6">
        <f>SQRT(2*$C$2/K8)</f>
        <v>2.5286651630293844</v>
      </c>
      <c r="L10" s="5" t="s">
        <v>18</v>
      </c>
    </row>
    <row r="11" spans="2:12" x14ac:dyDescent="0.3">
      <c r="B11" s="3" t="s">
        <v>25</v>
      </c>
      <c r="C11" s="6">
        <f>C10-C9</f>
        <v>0.84072715721740288</v>
      </c>
      <c r="D11" s="5" t="s">
        <v>18</v>
      </c>
      <c r="F11" s="3" t="s">
        <v>25</v>
      </c>
      <c r="G11" s="6">
        <f>G10-G9</f>
        <v>0.8571551396578414</v>
      </c>
      <c r="H11" s="5" t="s">
        <v>18</v>
      </c>
      <c r="J11" s="3" t="s">
        <v>25</v>
      </c>
      <c r="K11" s="6">
        <f>K10-K9</f>
        <v>0.74062887890111995</v>
      </c>
      <c r="L11" s="5" t="s">
        <v>18</v>
      </c>
    </row>
    <row r="12" spans="2:12" x14ac:dyDescent="0.3">
      <c r="B12" s="3"/>
      <c r="C12" s="7"/>
      <c r="D12" s="5"/>
      <c r="F12" s="3"/>
      <c r="G12" s="7"/>
      <c r="H12" s="5"/>
      <c r="J12" s="3"/>
      <c r="K12" s="7"/>
      <c r="L12" s="5"/>
    </row>
    <row r="13" spans="2:12" x14ac:dyDescent="0.3">
      <c r="B13" s="3" t="s">
        <v>8</v>
      </c>
      <c r="C13" s="25">
        <v>7000</v>
      </c>
      <c r="D13" s="5" t="s">
        <v>7</v>
      </c>
      <c r="F13" s="3" t="s">
        <v>8</v>
      </c>
      <c r="G13" s="15">
        <f>C13</f>
        <v>7000</v>
      </c>
      <c r="H13" s="5" t="s">
        <v>7</v>
      </c>
      <c r="J13" s="3" t="s">
        <v>8</v>
      </c>
      <c r="K13" s="25">
        <v>10000</v>
      </c>
      <c r="L13" s="5" t="s">
        <v>7</v>
      </c>
    </row>
    <row r="14" spans="2:12" x14ac:dyDescent="0.3">
      <c r="B14" s="3" t="s">
        <v>0</v>
      </c>
      <c r="C14" s="9">
        <f>C13+$C$4</f>
        <v>10396</v>
      </c>
      <c r="D14" s="5" t="s">
        <v>7</v>
      </c>
      <c r="F14" s="3" t="s">
        <v>0</v>
      </c>
      <c r="G14" s="9">
        <f>G13+$C$4</f>
        <v>10396</v>
      </c>
      <c r="H14" s="5" t="s">
        <v>7</v>
      </c>
      <c r="J14" s="3" t="s">
        <v>0</v>
      </c>
      <c r="K14" s="9">
        <f>K13+$C$4</f>
        <v>13396</v>
      </c>
      <c r="L14" s="5" t="s">
        <v>7</v>
      </c>
    </row>
    <row r="15" spans="2:12" x14ac:dyDescent="0.3">
      <c r="B15" s="3" t="s">
        <v>19</v>
      </c>
      <c r="C15" s="6">
        <f>$C$2/C$22*(1+C$20)</f>
        <v>2.0296949052096318</v>
      </c>
      <c r="D15" s="5" t="s">
        <v>18</v>
      </c>
      <c r="F15" s="3" t="s">
        <v>19</v>
      </c>
      <c r="G15" s="6">
        <f>$C$2/G$22*(1+G$20)</f>
        <v>2.1538618962182756</v>
      </c>
      <c r="H15" s="5" t="s">
        <v>18</v>
      </c>
      <c r="J15" s="3" t="s">
        <v>19</v>
      </c>
      <c r="K15" s="6">
        <f>$C$2/K$22*(1+K$20)</f>
        <v>1.7880362841282644</v>
      </c>
      <c r="L15" s="5" t="s">
        <v>18</v>
      </c>
    </row>
    <row r="16" spans="2:12" x14ac:dyDescent="0.3">
      <c r="B16" s="3" t="s">
        <v>20</v>
      </c>
      <c r="C16" s="6">
        <f>SQRT(2*$C$2/C14)</f>
        <v>2.8704220624270347</v>
      </c>
      <c r="D16" s="5" t="s">
        <v>18</v>
      </c>
      <c r="F16" s="3" t="s">
        <v>20</v>
      </c>
      <c r="G16" s="6">
        <f>SQRT(2*$C$2/G14)</f>
        <v>2.8704220624270347</v>
      </c>
      <c r="H16" s="5" t="s">
        <v>18</v>
      </c>
      <c r="J16" s="3" t="s">
        <v>20</v>
      </c>
      <c r="K16" s="6">
        <f>SQRT(2*$C$2/K14)</f>
        <v>2.5286651630293844</v>
      </c>
      <c r="L16" s="5" t="s">
        <v>18</v>
      </c>
    </row>
    <row r="17" spans="2:12" x14ac:dyDescent="0.3">
      <c r="B17" s="3" t="s">
        <v>26</v>
      </c>
      <c r="C17" s="6">
        <f>C16-C15</f>
        <v>0.84072715721740288</v>
      </c>
      <c r="D17" s="5" t="s">
        <v>18</v>
      </c>
      <c r="F17" s="3" t="s">
        <v>26</v>
      </c>
      <c r="G17" s="6">
        <f>G16-G15</f>
        <v>0.71656016620875906</v>
      </c>
      <c r="H17" s="5" t="s">
        <v>18</v>
      </c>
      <c r="J17" s="3" t="s">
        <v>26</v>
      </c>
      <c r="K17" s="6">
        <f>K16-K15</f>
        <v>0.74062887890111995</v>
      </c>
      <c r="L17" s="5" t="s">
        <v>18</v>
      </c>
    </row>
    <row r="18" spans="2:12" x14ac:dyDescent="0.3">
      <c r="B18" s="3"/>
      <c r="C18" s="7"/>
      <c r="D18" s="5"/>
      <c r="F18" s="3"/>
      <c r="G18" s="7"/>
      <c r="H18" s="5"/>
      <c r="J18" s="3"/>
      <c r="K18" s="7"/>
      <c r="L18" s="5"/>
    </row>
    <row r="19" spans="2:12" x14ac:dyDescent="0.3">
      <c r="B19" s="3" t="s">
        <v>9</v>
      </c>
      <c r="C19" s="7">
        <f>(C8+C14)/2</f>
        <v>10396</v>
      </c>
      <c r="D19" s="5" t="s">
        <v>7</v>
      </c>
      <c r="F19" s="3" t="s">
        <v>9</v>
      </c>
      <c r="G19" s="7">
        <f>(G8+G14)/2</f>
        <v>11896</v>
      </c>
      <c r="H19" s="5" t="s">
        <v>7</v>
      </c>
      <c r="J19" s="3" t="s">
        <v>9</v>
      </c>
      <c r="K19" s="7">
        <f>(K8+K14)/2</f>
        <v>13396</v>
      </c>
      <c r="L19" s="5" t="s">
        <v>7</v>
      </c>
    </row>
    <row r="20" spans="2:12" x14ac:dyDescent="0.3">
      <c r="B20" s="3" t="s">
        <v>13</v>
      </c>
      <c r="C20" s="10">
        <f>(C8-C14)/(C8+C14)</f>
        <v>0</v>
      </c>
      <c r="D20" s="5"/>
      <c r="F20" s="3" t="s">
        <v>13</v>
      </c>
      <c r="G20" s="10">
        <f>(G8-G14)/(G8+G14)</f>
        <v>0.12609280430396771</v>
      </c>
      <c r="H20" s="5"/>
      <c r="J20" s="3" t="s">
        <v>13</v>
      </c>
      <c r="K20" s="10">
        <f>(K8-K14)/(K8+K14)</f>
        <v>0</v>
      </c>
      <c r="L20" s="5"/>
    </row>
    <row r="21" spans="2:12" x14ac:dyDescent="0.3">
      <c r="B21" s="3" t="s">
        <v>15</v>
      </c>
      <c r="C21" s="11">
        <f>C19*(1-C20^2)</f>
        <v>10396</v>
      </c>
      <c r="D21" s="5" t="s">
        <v>7</v>
      </c>
      <c r="F21" s="3" t="s">
        <v>15</v>
      </c>
      <c r="G21" s="11">
        <f>G19*(1-G20^2)</f>
        <v>11706.860793544049</v>
      </c>
      <c r="H21" s="5" t="s">
        <v>7</v>
      </c>
      <c r="J21" s="3" t="s">
        <v>15</v>
      </c>
      <c r="K21" s="11">
        <f>K19*(1-K20^2)</f>
        <v>13396</v>
      </c>
      <c r="L21" s="5" t="s">
        <v>7</v>
      </c>
    </row>
    <row r="22" spans="2:12" x14ac:dyDescent="0.3">
      <c r="B22" s="3" t="s">
        <v>16</v>
      </c>
      <c r="C22" s="11">
        <f>SQRT(C21*$C$2)</f>
        <v>21100.708234559334</v>
      </c>
      <c r="D22" s="5" t="s">
        <v>17</v>
      </c>
      <c r="F22" s="3" t="s">
        <v>16</v>
      </c>
      <c r="G22" s="11">
        <f>SQRT(G21*$C$2)</f>
        <v>22391.548273085195</v>
      </c>
      <c r="H22" s="5" t="s">
        <v>17</v>
      </c>
      <c r="J22" s="3" t="s">
        <v>16</v>
      </c>
      <c r="K22" s="11">
        <f>SQRT(K21*$C$2)</f>
        <v>23952.534062182232</v>
      </c>
      <c r="L22" s="5" t="s">
        <v>17</v>
      </c>
    </row>
    <row r="23" spans="2:12" x14ac:dyDescent="0.3">
      <c r="B23" s="38" t="s">
        <v>10</v>
      </c>
      <c r="C23" s="11">
        <f>2*PI()*SQRT(C19^3/$C$2)</f>
        <v>32182.17392465326</v>
      </c>
      <c r="D23" s="5" t="s">
        <v>11</v>
      </c>
      <c r="F23" s="38" t="s">
        <v>10</v>
      </c>
      <c r="G23" s="11">
        <f>2*PI()*SQRT(G19^3/$C$2)</f>
        <v>39392.850206556221</v>
      </c>
      <c r="H23" s="5" t="s">
        <v>11</v>
      </c>
      <c r="J23" s="38" t="s">
        <v>10</v>
      </c>
      <c r="K23" s="11">
        <f>2*PI()*SQRT(K19^3/$C$2)</f>
        <v>47073.737329672585</v>
      </c>
      <c r="L23" s="5" t="s">
        <v>11</v>
      </c>
    </row>
    <row r="24" spans="2:12" ht="15" thickBot="1" x14ac:dyDescent="0.35">
      <c r="B24" s="39"/>
      <c r="C24" s="12">
        <f>C23/3600</f>
        <v>8.9394927568481268</v>
      </c>
      <c r="D24" s="13" t="s">
        <v>12</v>
      </c>
      <c r="F24" s="39"/>
      <c r="G24" s="12">
        <f>G23/3600</f>
        <v>10.942458390710062</v>
      </c>
      <c r="H24" s="13" t="s">
        <v>12</v>
      </c>
      <c r="J24" s="39"/>
      <c r="K24" s="12">
        <f>K23/3600</f>
        <v>13.076038147131273</v>
      </c>
      <c r="L24" s="13" t="s">
        <v>12</v>
      </c>
    </row>
    <row r="25" spans="2:12" ht="15" thickBot="1" x14ac:dyDescent="0.35"/>
    <row r="26" spans="2:12" x14ac:dyDescent="0.3">
      <c r="F26" s="18" t="s">
        <v>22</v>
      </c>
      <c r="G26" s="19">
        <f>ABS(G15-C15)</f>
        <v>0.12416699100864381</v>
      </c>
      <c r="H26" s="20" t="s">
        <v>18</v>
      </c>
    </row>
    <row r="27" spans="2:12" x14ac:dyDescent="0.3">
      <c r="F27" s="21" t="s">
        <v>23</v>
      </c>
      <c r="G27" s="22">
        <f>ABS(K9-G9)</f>
        <v>0.11652626075672146</v>
      </c>
      <c r="H27" s="5" t="s">
        <v>18</v>
      </c>
    </row>
    <row r="28" spans="2:12" ht="15" thickBot="1" x14ac:dyDescent="0.35">
      <c r="F28" s="23" t="s">
        <v>24</v>
      </c>
      <c r="G28" s="24">
        <f>SUM(G26:G27)</f>
        <v>0.24069325176536527</v>
      </c>
      <c r="H28" s="13" t="s">
        <v>18</v>
      </c>
    </row>
  </sheetData>
  <mergeCells count="7">
    <mergeCell ref="J6:L6"/>
    <mergeCell ref="J23:J24"/>
    <mergeCell ref="B1:D1"/>
    <mergeCell ref="B6:D6"/>
    <mergeCell ref="B23:B24"/>
    <mergeCell ref="F6:H6"/>
    <mergeCell ref="F23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BB8D-6EF4-4F00-A69B-DBCA8D941CB8}">
  <dimension ref="C2:F36"/>
  <sheetViews>
    <sheetView topLeftCell="A17" workbookViewId="0">
      <selection activeCell="M11" sqref="M11"/>
    </sheetView>
  </sheetViews>
  <sheetFormatPr defaultRowHeight="14.4" x14ac:dyDescent="0.3"/>
  <cols>
    <col min="2" max="2" width="9.21875" bestFit="1" customWidth="1"/>
    <col min="4" max="4" width="12.88671875" bestFit="1" customWidth="1"/>
  </cols>
  <sheetData>
    <row r="2" spans="3:6" x14ac:dyDescent="0.3">
      <c r="C2" t="s">
        <v>62</v>
      </c>
      <c r="D2">
        <f>2*3390</f>
        <v>6780</v>
      </c>
    </row>
    <row r="4" spans="3:6" x14ac:dyDescent="0.3">
      <c r="C4" t="s">
        <v>60</v>
      </c>
      <c r="D4" t="s">
        <v>61</v>
      </c>
      <c r="E4" t="s">
        <v>63</v>
      </c>
    </row>
    <row r="5" spans="3:6" x14ac:dyDescent="0.3">
      <c r="C5">
        <v>5000</v>
      </c>
      <c r="D5" s="41">
        <f>2*C5*PI()</f>
        <v>31415.926535897932</v>
      </c>
      <c r="E5" s="29">
        <f>2*ASIN($D$2/(2*C5))</f>
        <v>1.4900766984267722</v>
      </c>
      <c r="F5">
        <f>E5/(2*PI())</f>
        <v>0.23715307214067222</v>
      </c>
    </row>
    <row r="6" spans="3:6" x14ac:dyDescent="0.3">
      <c r="C6">
        <v>5500</v>
      </c>
      <c r="D6" s="41">
        <f t="shared" ref="D6:D36" si="0">2*C6*PI()</f>
        <v>34557.519189487721</v>
      </c>
      <c r="E6" s="29">
        <f t="shared" ref="E6:E29" si="1">2*ASIN($D$2/(2*C6))</f>
        <v>1.3282329628029259</v>
      </c>
      <c r="F6">
        <f t="shared" ref="F6:F36" si="2">E6/(2*PI())</f>
        <v>0.21139484160767921</v>
      </c>
    </row>
    <row r="7" spans="3:6" x14ac:dyDescent="0.3">
      <c r="C7">
        <v>6000</v>
      </c>
      <c r="D7" s="41">
        <f t="shared" si="0"/>
        <v>37699.111843077517</v>
      </c>
      <c r="E7" s="29">
        <f t="shared" si="1"/>
        <v>1.2008665071610467</v>
      </c>
      <c r="F7">
        <f t="shared" si="2"/>
        <v>0.19112384060817952</v>
      </c>
    </row>
    <row r="8" spans="3:6" x14ac:dyDescent="0.3">
      <c r="C8">
        <v>6500</v>
      </c>
      <c r="D8" s="41">
        <f t="shared" si="0"/>
        <v>40840.704496667313</v>
      </c>
      <c r="E8" s="29">
        <f t="shared" si="1"/>
        <v>1.0973061335537559</v>
      </c>
      <c r="F8">
        <f t="shared" si="2"/>
        <v>0.17464169524013573</v>
      </c>
    </row>
    <row r="9" spans="3:6" x14ac:dyDescent="0.3">
      <c r="C9">
        <v>7000</v>
      </c>
      <c r="D9" s="41">
        <f t="shared" si="0"/>
        <v>43982.297150257102</v>
      </c>
      <c r="E9" s="29">
        <f t="shared" si="1"/>
        <v>1.0110931448898759</v>
      </c>
      <c r="F9">
        <f t="shared" si="2"/>
        <v>0.1609204719355537</v>
      </c>
    </row>
    <row r="10" spans="3:6" x14ac:dyDescent="0.3">
      <c r="C10">
        <v>7500</v>
      </c>
      <c r="D10" s="41">
        <f t="shared" si="0"/>
        <v>47123.889803846898</v>
      </c>
      <c r="E10" s="29">
        <f t="shared" si="1"/>
        <v>0.93801235220684875</v>
      </c>
      <c r="F10">
        <f t="shared" si="2"/>
        <v>0.14928930253497591</v>
      </c>
    </row>
    <row r="11" spans="3:6" x14ac:dyDescent="0.3">
      <c r="C11">
        <v>8000</v>
      </c>
      <c r="D11" s="41">
        <f t="shared" si="0"/>
        <v>50265.482457436687</v>
      </c>
      <c r="E11" s="29">
        <f t="shared" si="1"/>
        <v>0.87516282421328206</v>
      </c>
      <c r="F11">
        <f t="shared" si="2"/>
        <v>0.13928648948380731</v>
      </c>
    </row>
    <row r="12" spans="3:6" x14ac:dyDescent="0.3">
      <c r="C12">
        <v>8500</v>
      </c>
      <c r="D12" s="41">
        <f t="shared" si="0"/>
        <v>53407.075111026483</v>
      </c>
      <c r="E12" s="29">
        <f t="shared" si="1"/>
        <v>0.82046714085441064</v>
      </c>
      <c r="F12">
        <f t="shared" si="2"/>
        <v>0.1305814011114538</v>
      </c>
    </row>
    <row r="13" spans="3:6" x14ac:dyDescent="0.3">
      <c r="C13">
        <v>9000</v>
      </c>
      <c r="D13" s="41">
        <f t="shared" si="0"/>
        <v>56548.667764616279</v>
      </c>
      <c r="E13" s="29">
        <f t="shared" si="1"/>
        <v>0.77239059202228444</v>
      </c>
      <c r="F13">
        <f t="shared" si="2"/>
        <v>0.12292978071802203</v>
      </c>
    </row>
    <row r="14" spans="3:6" x14ac:dyDescent="0.3">
      <c r="C14">
        <v>9500</v>
      </c>
      <c r="D14" s="41">
        <f t="shared" si="0"/>
        <v>59690.260418206068</v>
      </c>
      <c r="E14" s="29">
        <f t="shared" si="1"/>
        <v>0.72977050821628342</v>
      </c>
      <c r="F14">
        <f t="shared" si="2"/>
        <v>0.11614658370530613</v>
      </c>
    </row>
    <row r="15" spans="3:6" x14ac:dyDescent="0.3">
      <c r="C15">
        <v>10000</v>
      </c>
      <c r="D15" s="41">
        <f t="shared" si="0"/>
        <v>62831.853071795864</v>
      </c>
      <c r="E15" s="29">
        <f t="shared" si="1"/>
        <v>0.69170750624173893</v>
      </c>
      <c r="F15">
        <f t="shared" si="2"/>
        <v>0.1100886687921408</v>
      </c>
    </row>
    <row r="16" spans="3:6" x14ac:dyDescent="0.3">
      <c r="C16">
        <v>10500</v>
      </c>
      <c r="D16" s="41">
        <f t="shared" si="0"/>
        <v>65973.445725385653</v>
      </c>
      <c r="E16" s="29">
        <f t="shared" si="1"/>
        <v>0.65749349196079299</v>
      </c>
      <c r="F16">
        <f t="shared" si="2"/>
        <v>0.10464333929631156</v>
      </c>
    </row>
    <row r="17" spans="3:6" x14ac:dyDescent="0.3">
      <c r="C17">
        <v>11000</v>
      </c>
      <c r="D17" s="41">
        <f t="shared" si="0"/>
        <v>69115.038378975441</v>
      </c>
      <c r="E17" s="29">
        <f t="shared" si="1"/>
        <v>0.6265624685501201</v>
      </c>
      <c r="F17">
        <f t="shared" si="2"/>
        <v>9.9720514025611828E-2</v>
      </c>
    </row>
    <row r="18" spans="3:6" x14ac:dyDescent="0.3">
      <c r="C18">
        <v>11500</v>
      </c>
      <c r="D18" s="41">
        <f t="shared" si="0"/>
        <v>72256.631032565245</v>
      </c>
      <c r="E18" s="29">
        <f t="shared" si="1"/>
        <v>0.59845602049744184</v>
      </c>
      <c r="F18">
        <f t="shared" si="2"/>
        <v>9.5247233885272509E-2</v>
      </c>
    </row>
    <row r="19" spans="3:6" x14ac:dyDescent="0.3">
      <c r="C19">
        <v>12000</v>
      </c>
      <c r="D19" s="41">
        <f t="shared" si="0"/>
        <v>75398.223686155034</v>
      </c>
      <c r="E19" s="29">
        <f t="shared" si="1"/>
        <v>0.57279853714194451</v>
      </c>
      <c r="F19">
        <f t="shared" si="2"/>
        <v>9.1163718581947079E-2</v>
      </c>
    </row>
    <row r="20" spans="3:6" x14ac:dyDescent="0.3">
      <c r="C20">
        <v>12500</v>
      </c>
      <c r="D20" s="41">
        <f t="shared" si="0"/>
        <v>78539.816339744822</v>
      </c>
      <c r="E20" s="29">
        <f t="shared" si="1"/>
        <v>0.54927907265337028</v>
      </c>
      <c r="F20">
        <f t="shared" si="2"/>
        <v>8.7420479549716198E-2</v>
      </c>
    </row>
    <row r="21" spans="3:6" x14ac:dyDescent="0.3">
      <c r="C21">
        <v>13000</v>
      </c>
      <c r="D21" s="41">
        <f t="shared" si="0"/>
        <v>81681.408993334626</v>
      </c>
      <c r="E21" s="29">
        <f t="shared" si="1"/>
        <v>0.52763783270931575</v>
      </c>
      <c r="F21">
        <f t="shared" si="2"/>
        <v>8.3976169237982137E-2</v>
      </c>
    </row>
    <row r="22" spans="3:6" x14ac:dyDescent="0.3">
      <c r="C22">
        <v>13500</v>
      </c>
      <c r="D22" s="41">
        <f t="shared" si="0"/>
        <v>84823.001646924415</v>
      </c>
      <c r="E22" s="29">
        <f t="shared" si="1"/>
        <v>0.50765595214619785</v>
      </c>
      <c r="F22">
        <f t="shared" si="2"/>
        <v>8.0795954174090065E-2</v>
      </c>
    </row>
    <row r="23" spans="3:6" x14ac:dyDescent="0.3">
      <c r="C23">
        <v>14000</v>
      </c>
      <c r="D23" s="41">
        <f t="shared" si="0"/>
        <v>87964.594300514203</v>
      </c>
      <c r="E23" s="29">
        <f t="shared" si="1"/>
        <v>0.48914765544896099</v>
      </c>
      <c r="F23">
        <f t="shared" si="2"/>
        <v>7.7850267266513423E-2</v>
      </c>
    </row>
    <row r="24" spans="3:6" x14ac:dyDescent="0.3">
      <c r="C24">
        <v>14500</v>
      </c>
      <c r="D24" s="41">
        <f t="shared" si="0"/>
        <v>91106.186954104007</v>
      </c>
      <c r="E24" s="29">
        <f t="shared" si="1"/>
        <v>0.47195417012110447</v>
      </c>
      <c r="F24">
        <f t="shared" si="2"/>
        <v>7.5113839087607076E-2</v>
      </c>
    </row>
    <row r="25" spans="3:6" x14ac:dyDescent="0.3">
      <c r="C25">
        <v>15000</v>
      </c>
      <c r="D25" s="41">
        <f t="shared" si="0"/>
        <v>94247.779607693796</v>
      </c>
      <c r="E25" s="29">
        <f t="shared" si="1"/>
        <v>0.45593894803327445</v>
      </c>
      <c r="F25">
        <f t="shared" si="2"/>
        <v>7.2564937327614418E-2</v>
      </c>
    </row>
    <row r="26" spans="3:6" x14ac:dyDescent="0.3">
      <c r="C26">
        <v>15500</v>
      </c>
      <c r="D26" s="41">
        <f t="shared" si="0"/>
        <v>97389.372261283585</v>
      </c>
      <c r="E26" s="29">
        <f t="shared" si="1"/>
        <v>0.44098387543539286</v>
      </c>
      <c r="F26">
        <f t="shared" si="2"/>
        <v>7.0184763599363417E-2</v>
      </c>
    </row>
    <row r="27" spans="3:6" x14ac:dyDescent="0.3">
      <c r="C27">
        <v>16000</v>
      </c>
      <c r="D27" s="41">
        <f t="shared" si="0"/>
        <v>100530.96491487337</v>
      </c>
      <c r="E27" s="29">
        <f t="shared" si="1"/>
        <v>0.42698623908641925</v>
      </c>
      <c r="F27">
        <f t="shared" si="2"/>
        <v>6.7956970582821477E-2</v>
      </c>
    </row>
    <row r="28" spans="3:6" x14ac:dyDescent="0.3">
      <c r="C28">
        <v>16500</v>
      </c>
      <c r="D28" s="41">
        <f t="shared" si="0"/>
        <v>103672.55756846318</v>
      </c>
      <c r="E28" s="29">
        <f t="shared" si="1"/>
        <v>0.41385627688535714</v>
      </c>
      <c r="F28">
        <f t="shared" si="2"/>
        <v>6.5867272195912693E-2</v>
      </c>
    </row>
    <row r="29" spans="3:6" x14ac:dyDescent="0.3">
      <c r="C29">
        <v>17000</v>
      </c>
      <c r="D29" s="41">
        <f t="shared" si="0"/>
        <v>106814.15022205297</v>
      </c>
      <c r="E29" s="29">
        <f t="shared" si="1"/>
        <v>0.4015151848076231</v>
      </c>
      <c r="F29">
        <f t="shared" si="2"/>
        <v>6.3903126388589096E-2</v>
      </c>
    </row>
    <row r="30" spans="3:6" x14ac:dyDescent="0.3">
      <c r="C30">
        <v>17500</v>
      </c>
      <c r="D30" s="41">
        <f t="shared" si="0"/>
        <v>109955.74287564275</v>
      </c>
      <c r="E30" s="29">
        <f t="shared" ref="E30:E36" si="3">2*ASIN($D$2/(2*C30))</f>
        <v>0.38989348331385315</v>
      </c>
      <c r="F30">
        <f t="shared" si="2"/>
        <v>6.2053475148717147E-2</v>
      </c>
    </row>
    <row r="31" spans="3:6" x14ac:dyDescent="0.3">
      <c r="C31">
        <v>18000</v>
      </c>
      <c r="D31" s="41">
        <f t="shared" si="0"/>
        <v>113097.33552923256</v>
      </c>
      <c r="E31" s="29">
        <f t="shared" si="3"/>
        <v>0.37892966933403399</v>
      </c>
      <c r="F31">
        <f t="shared" si="2"/>
        <v>6.0308529958688899E-2</v>
      </c>
    </row>
    <row r="32" spans="3:6" x14ac:dyDescent="0.3">
      <c r="C32">
        <v>18500</v>
      </c>
      <c r="D32" s="41">
        <f t="shared" si="0"/>
        <v>116238.92818282235</v>
      </c>
      <c r="E32" s="29">
        <f t="shared" si="3"/>
        <v>0.36856909689534179</v>
      </c>
      <c r="F32">
        <f t="shared" si="2"/>
        <v>5.8659593641809379E-2</v>
      </c>
    </row>
    <row r="33" spans="3:6" x14ac:dyDescent="0.3">
      <c r="C33">
        <v>19000</v>
      </c>
      <c r="D33" s="41">
        <f t="shared" si="0"/>
        <v>119380.52083641214</v>
      </c>
      <c r="E33" s="29">
        <f t="shared" si="3"/>
        <v>0.35876304214450988</v>
      </c>
      <c r="F33">
        <f t="shared" si="2"/>
        <v>5.7098911555984719E-2</v>
      </c>
    </row>
    <row r="34" spans="3:6" x14ac:dyDescent="0.3">
      <c r="C34">
        <v>19500</v>
      </c>
      <c r="D34" s="41">
        <f t="shared" si="0"/>
        <v>122522.11349000194</v>
      </c>
      <c r="E34" s="29">
        <f t="shared" si="3"/>
        <v>0.34946791808956579</v>
      </c>
      <c r="F34">
        <f t="shared" si="2"/>
        <v>5.5619546615987989E-2</v>
      </c>
    </row>
    <row r="35" spans="3:6" x14ac:dyDescent="0.3">
      <c r="C35">
        <v>20000</v>
      </c>
      <c r="D35" s="41">
        <f t="shared" si="0"/>
        <v>125663.70614359173</v>
      </c>
      <c r="E35" s="29">
        <f t="shared" si="3"/>
        <v>0.34064461167946047</v>
      </c>
      <c r="F35">
        <f t="shared" si="2"/>
        <v>5.4215273786405317E-2</v>
      </c>
    </row>
    <row r="36" spans="3:6" x14ac:dyDescent="0.3">
      <c r="C36">
        <v>20500</v>
      </c>
      <c r="D36" s="41">
        <f t="shared" si="0"/>
        <v>128805.29879718152</v>
      </c>
      <c r="E36" s="29">
        <f t="shared" si="3"/>
        <v>0.33225792144411248</v>
      </c>
      <c r="F36">
        <f t="shared" si="2"/>
        <v>5.2880490579269156E-2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E4B0-A537-4156-B81A-3D2EB3DBBDEC}">
  <dimension ref="C2:G14"/>
  <sheetViews>
    <sheetView workbookViewId="0">
      <selection activeCell="F24" sqref="F24"/>
    </sheetView>
  </sheetViews>
  <sheetFormatPr defaultRowHeight="14.4" x14ac:dyDescent="0.3"/>
  <cols>
    <col min="3" max="3" width="32" bestFit="1" customWidth="1"/>
    <col min="4" max="4" width="11" bestFit="1" customWidth="1"/>
    <col min="6" max="6" width="10.88671875" bestFit="1" customWidth="1"/>
    <col min="7" max="7" width="14.109375" bestFit="1" customWidth="1"/>
  </cols>
  <sheetData>
    <row r="2" spans="3:7" x14ac:dyDescent="0.3">
      <c r="D2" t="s">
        <v>54</v>
      </c>
      <c r="E2" t="s">
        <v>57</v>
      </c>
      <c r="F2" t="s">
        <v>58</v>
      </c>
      <c r="G2" t="s">
        <v>59</v>
      </c>
    </row>
    <row r="13" spans="3:7" x14ac:dyDescent="0.3">
      <c r="C13" t="s">
        <v>52</v>
      </c>
      <c r="D13" t="s">
        <v>55</v>
      </c>
    </row>
    <row r="14" spans="3:7" x14ac:dyDescent="0.3">
      <c r="C14" t="s">
        <v>53</v>
      </c>
      <c r="D1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E035-10CF-415D-9B82-EC76F9BAA130}">
  <dimension ref="B1:O22"/>
  <sheetViews>
    <sheetView workbookViewId="0">
      <selection activeCell="N14" sqref="N14"/>
    </sheetView>
  </sheetViews>
  <sheetFormatPr defaultRowHeight="14.4" x14ac:dyDescent="0.3"/>
  <cols>
    <col min="2" max="2" width="10.88671875" bestFit="1" customWidth="1"/>
    <col min="3" max="3" width="11" bestFit="1" customWidth="1"/>
    <col min="6" max="6" width="10.88671875" bestFit="1" customWidth="1"/>
    <col min="7" max="7" width="11" bestFit="1" customWidth="1"/>
    <col min="10" max="10" width="10.88671875" bestFit="1" customWidth="1"/>
    <col min="11" max="11" width="11" bestFit="1" customWidth="1"/>
    <col min="15" max="15" width="9.5546875" bestFit="1" customWidth="1"/>
  </cols>
  <sheetData>
    <row r="1" spans="2:15" ht="15" thickBot="1" x14ac:dyDescent="0.35">
      <c r="B1" s="35" t="s">
        <v>30</v>
      </c>
      <c r="C1" s="36"/>
      <c r="D1" s="37"/>
    </row>
    <row r="2" spans="2:15" x14ac:dyDescent="0.3">
      <c r="B2" s="3" t="s">
        <v>2</v>
      </c>
      <c r="C2" s="25">
        <v>132712000000</v>
      </c>
      <c r="D2" s="5" t="s">
        <v>3</v>
      </c>
    </row>
    <row r="3" spans="2:15" x14ac:dyDescent="0.3">
      <c r="B3" s="3" t="s">
        <v>27</v>
      </c>
      <c r="C3" s="8" t="s">
        <v>31</v>
      </c>
      <c r="D3" s="5" t="s">
        <v>7</v>
      </c>
    </row>
    <row r="4" spans="2:15" ht="15" thickBot="1" x14ac:dyDescent="0.35">
      <c r="B4" s="16" t="s">
        <v>5</v>
      </c>
      <c r="C4" s="17">
        <f>6792/2</f>
        <v>3396</v>
      </c>
      <c r="D4" s="13" t="s">
        <v>7</v>
      </c>
    </row>
    <row r="5" spans="2:15" ht="15" thickBot="1" x14ac:dyDescent="0.35"/>
    <row r="6" spans="2:15" ht="15" thickBot="1" x14ac:dyDescent="0.35">
      <c r="B6" s="35" t="s">
        <v>32</v>
      </c>
      <c r="C6" s="36"/>
      <c r="D6" s="37"/>
      <c r="F6" s="35" t="s">
        <v>49</v>
      </c>
      <c r="G6" s="36"/>
      <c r="H6" s="37"/>
      <c r="J6" s="35" t="s">
        <v>33</v>
      </c>
      <c r="K6" s="36"/>
      <c r="L6" s="37"/>
    </row>
    <row r="7" spans="2:15" x14ac:dyDescent="0.3">
      <c r="B7" s="3" t="s">
        <v>1</v>
      </c>
      <c r="C7" s="26">
        <v>149600000</v>
      </c>
      <c r="D7" s="5" t="s">
        <v>7</v>
      </c>
      <c r="F7" s="3" t="s">
        <v>1</v>
      </c>
      <c r="G7" s="26">
        <f>K10</f>
        <v>227900000</v>
      </c>
      <c r="H7" s="5" t="s">
        <v>7</v>
      </c>
      <c r="J7" s="3" t="s">
        <v>1</v>
      </c>
      <c r="K7" s="26">
        <v>227900000</v>
      </c>
      <c r="L7" s="5" t="s">
        <v>7</v>
      </c>
      <c r="O7" s="28"/>
    </row>
    <row r="8" spans="2:15" x14ac:dyDescent="0.3">
      <c r="B8" s="3" t="s">
        <v>14</v>
      </c>
      <c r="C8" s="6">
        <f>$C$2/C$16*(1-C$14)</f>
        <v>29.78443048750875</v>
      </c>
      <c r="D8" s="5" t="s">
        <v>18</v>
      </c>
      <c r="F8" s="3" t="s">
        <v>14</v>
      </c>
      <c r="G8" s="6">
        <f>$C$2/G$16*(1-G$14)</f>
        <v>21.48351063061769</v>
      </c>
      <c r="H8" s="5" t="s">
        <v>18</v>
      </c>
      <c r="J8" s="3" t="s">
        <v>14</v>
      </c>
      <c r="K8" s="6">
        <f>$C$2/K$16*(1-K$14)</f>
        <v>24.131423111688807</v>
      </c>
      <c r="L8" s="5" t="s">
        <v>18</v>
      </c>
      <c r="O8" s="31"/>
    </row>
    <row r="9" spans="2:15" x14ac:dyDescent="0.3">
      <c r="B9" s="3"/>
      <c r="C9" s="7"/>
      <c r="D9" s="5"/>
      <c r="F9" s="3"/>
      <c r="G9" s="7"/>
      <c r="H9" s="5"/>
      <c r="J9" s="3"/>
      <c r="K9" s="7"/>
      <c r="L9" s="5"/>
    </row>
    <row r="10" spans="2:15" x14ac:dyDescent="0.3">
      <c r="B10" s="3" t="s">
        <v>0</v>
      </c>
      <c r="C10" s="27">
        <f>C7</f>
        <v>149600000</v>
      </c>
      <c r="D10" s="5" t="s">
        <v>7</v>
      </c>
      <c r="F10" s="3" t="s">
        <v>0</v>
      </c>
      <c r="G10" s="27">
        <f>C10</f>
        <v>149600000</v>
      </c>
      <c r="H10" s="5" t="s">
        <v>7</v>
      </c>
      <c r="J10" s="3" t="s">
        <v>0</v>
      </c>
      <c r="K10" s="26">
        <v>227900000</v>
      </c>
      <c r="L10" s="5" t="s">
        <v>7</v>
      </c>
      <c r="O10" s="28"/>
    </row>
    <row r="11" spans="2:15" x14ac:dyDescent="0.3">
      <c r="B11" s="3" t="s">
        <v>19</v>
      </c>
      <c r="C11" s="6">
        <f>$C$2/C$16*(1+C$14)</f>
        <v>29.78443048750875</v>
      </c>
      <c r="D11" s="5" t="s">
        <v>18</v>
      </c>
      <c r="F11" s="3" t="s">
        <v>19</v>
      </c>
      <c r="G11" s="6">
        <f>$C$2/G$16*(1+G$14)</f>
        <v>32.727888186616113</v>
      </c>
      <c r="H11" s="5" t="s">
        <v>18</v>
      </c>
      <c r="J11" s="3" t="s">
        <v>19</v>
      </c>
      <c r="K11" s="6">
        <f>$C$2/K$16*(1+K$14)</f>
        <v>24.131423111688807</v>
      </c>
      <c r="L11" s="5" t="s">
        <v>18</v>
      </c>
    </row>
    <row r="12" spans="2:15" x14ac:dyDescent="0.3">
      <c r="B12" s="3"/>
      <c r="C12" s="7"/>
      <c r="D12" s="5"/>
      <c r="F12" s="3"/>
      <c r="G12" s="7"/>
      <c r="H12" s="5"/>
      <c r="J12" s="3"/>
      <c r="K12" s="7"/>
      <c r="L12" s="5"/>
    </row>
    <row r="13" spans="2:15" x14ac:dyDescent="0.3">
      <c r="B13" s="3" t="s">
        <v>9</v>
      </c>
      <c r="C13" s="7">
        <f>(C7+C10)/2</f>
        <v>149600000</v>
      </c>
      <c r="D13" s="5" t="s">
        <v>7</v>
      </c>
      <c r="F13" s="3" t="s">
        <v>9</v>
      </c>
      <c r="G13" s="7">
        <f>(G7+G10)/2</f>
        <v>188750000</v>
      </c>
      <c r="H13" s="5" t="s">
        <v>7</v>
      </c>
      <c r="J13" s="3" t="s">
        <v>9</v>
      </c>
      <c r="K13" s="7">
        <f>(K7+K10)/2</f>
        <v>227900000</v>
      </c>
      <c r="L13" s="5" t="s">
        <v>7</v>
      </c>
    </row>
    <row r="14" spans="2:15" x14ac:dyDescent="0.3">
      <c r="B14" s="3" t="s">
        <v>13</v>
      </c>
      <c r="C14" s="10">
        <f>(C7-C10)/(C7+C10)</f>
        <v>0</v>
      </c>
      <c r="D14" s="5"/>
      <c r="F14" s="3" t="s">
        <v>13</v>
      </c>
      <c r="G14" s="10">
        <f>(G7-G10)/(G7+G10)</f>
        <v>0.20741721854304634</v>
      </c>
      <c r="H14" s="5"/>
      <c r="J14" s="3" t="s">
        <v>13</v>
      </c>
      <c r="K14" s="10">
        <f>(K7-K10)/(K7+K10)</f>
        <v>0</v>
      </c>
      <c r="L14" s="5"/>
    </row>
    <row r="15" spans="2:15" x14ac:dyDescent="0.3">
      <c r="B15" s="3" t="s">
        <v>15</v>
      </c>
      <c r="C15" s="11">
        <f>C13*(1-C14^2)</f>
        <v>149600000</v>
      </c>
      <c r="D15" s="5" t="s">
        <v>7</v>
      </c>
      <c r="F15" s="3" t="s">
        <v>15</v>
      </c>
      <c r="G15" s="11">
        <f>G13*(1-G14^2)</f>
        <v>180629615.89403972</v>
      </c>
      <c r="H15" s="5" t="s">
        <v>7</v>
      </c>
      <c r="J15" s="3" t="s">
        <v>15</v>
      </c>
      <c r="K15" s="11">
        <f>K13*(1-K14^2)</f>
        <v>227900000</v>
      </c>
      <c r="L15" s="5" t="s">
        <v>7</v>
      </c>
    </row>
    <row r="16" spans="2:15" x14ac:dyDescent="0.3">
      <c r="B16" s="3" t="s">
        <v>16</v>
      </c>
      <c r="C16" s="11">
        <f>SQRT(C15*$C$2)</f>
        <v>4455750800.9313087</v>
      </c>
      <c r="D16" s="5" t="s">
        <v>17</v>
      </c>
      <c r="F16" s="3" t="s">
        <v>16</v>
      </c>
      <c r="G16" s="11">
        <f>SQRT(G15*$C$2)</f>
        <v>4896092072.7177715</v>
      </c>
      <c r="H16" s="5" t="s">
        <v>17</v>
      </c>
      <c r="J16" s="3" t="s">
        <v>16</v>
      </c>
      <c r="K16" s="11">
        <f>SQRT(K15*$C$2)</f>
        <v>5499551327.1538801</v>
      </c>
      <c r="L16" s="5" t="s">
        <v>17</v>
      </c>
    </row>
    <row r="17" spans="2:12" x14ac:dyDescent="0.3">
      <c r="B17" s="38" t="s">
        <v>10</v>
      </c>
      <c r="C17" s="11">
        <f>2*PI()*SQRT(C13^3/$C$2)</f>
        <v>31558922.113628343</v>
      </c>
      <c r="D17" s="5" t="s">
        <v>11</v>
      </c>
      <c r="F17" s="38" t="s">
        <v>10</v>
      </c>
      <c r="G17" s="11">
        <f>2*PI()*SQRT(G13^3/$C$2)</f>
        <v>44725500.758314081</v>
      </c>
      <c r="H17" s="5" t="s">
        <v>11</v>
      </c>
      <c r="J17" s="38" t="s">
        <v>10</v>
      </c>
      <c r="K17" s="11">
        <f>2*PI()*SQRT(K13^3/$C$2)</f>
        <v>59339141.536688879</v>
      </c>
      <c r="L17" s="5" t="s">
        <v>11</v>
      </c>
    </row>
    <row r="18" spans="2:12" ht="15" thickBot="1" x14ac:dyDescent="0.35">
      <c r="B18" s="39"/>
      <c r="C18" s="12">
        <f>C17/3600</f>
        <v>8766.367253785651</v>
      </c>
      <c r="D18" s="13" t="s">
        <v>12</v>
      </c>
      <c r="F18" s="39"/>
      <c r="G18" s="12">
        <f>G17/3600</f>
        <v>12423.7502106428</v>
      </c>
      <c r="H18" s="13" t="s">
        <v>12</v>
      </c>
      <c r="J18" s="39"/>
      <c r="K18" s="12">
        <f>K17/3600</f>
        <v>16483.094871302466</v>
      </c>
      <c r="L18" s="13" t="s">
        <v>12</v>
      </c>
    </row>
    <row r="19" spans="2:12" ht="15" thickBot="1" x14ac:dyDescent="0.35"/>
    <row r="20" spans="2:12" x14ac:dyDescent="0.3">
      <c r="F20" s="18" t="s">
        <v>36</v>
      </c>
      <c r="G20" s="19">
        <f>ABS(G11-C11)</f>
        <v>2.9434576991073627</v>
      </c>
      <c r="H20" s="20" t="s">
        <v>18</v>
      </c>
    </row>
    <row r="21" spans="2:12" x14ac:dyDescent="0.3">
      <c r="F21" s="21" t="s">
        <v>37</v>
      </c>
      <c r="G21" s="22">
        <f>ABS(K8-G8)</f>
        <v>2.647912481071117</v>
      </c>
      <c r="H21" s="5" t="s">
        <v>18</v>
      </c>
    </row>
    <row r="22" spans="2:12" ht="15" thickBot="1" x14ac:dyDescent="0.35">
      <c r="F22" s="23" t="s">
        <v>24</v>
      </c>
      <c r="G22" s="24">
        <f>SUM(G20:G21)</f>
        <v>5.5913701801784796</v>
      </c>
      <c r="H22" s="13" t="s">
        <v>18</v>
      </c>
    </row>
  </sheetData>
  <mergeCells count="7">
    <mergeCell ref="B1:D1"/>
    <mergeCell ref="B6:D6"/>
    <mergeCell ref="F6:H6"/>
    <mergeCell ref="J6:L6"/>
    <mergeCell ref="B17:B18"/>
    <mergeCell ref="F17:F18"/>
    <mergeCell ref="J17:J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DF85-BE54-4F5B-B70F-7758956758A9}">
  <dimension ref="B2:P16"/>
  <sheetViews>
    <sheetView workbookViewId="0">
      <selection activeCell="C8" sqref="C8"/>
    </sheetView>
  </sheetViews>
  <sheetFormatPr defaultRowHeight="14.4" x14ac:dyDescent="0.3"/>
  <cols>
    <col min="2" max="2" width="11.33203125" bestFit="1" customWidth="1"/>
    <col min="5" max="5" width="11.33203125" bestFit="1" customWidth="1"/>
  </cols>
  <sheetData>
    <row r="2" spans="2:16" x14ac:dyDescent="0.3">
      <c r="B2" t="s">
        <v>45</v>
      </c>
      <c r="C2" s="15">
        <v>42828</v>
      </c>
      <c r="D2" s="15" t="s">
        <v>3</v>
      </c>
    </row>
    <row r="3" spans="2:16" x14ac:dyDescent="0.3">
      <c r="B3" t="s">
        <v>34</v>
      </c>
      <c r="C3" s="30">
        <v>2.65</v>
      </c>
      <c r="D3" t="s">
        <v>18</v>
      </c>
    </row>
    <row r="4" spans="2:16" x14ac:dyDescent="0.3">
      <c r="B4" t="s">
        <v>46</v>
      </c>
      <c r="C4">
        <v>578600</v>
      </c>
      <c r="D4" t="s">
        <v>7</v>
      </c>
    </row>
    <row r="5" spans="2:16" x14ac:dyDescent="0.3">
      <c r="B5" t="s">
        <v>40</v>
      </c>
      <c r="C5">
        <f>C3^2/2-C2/C4</f>
        <v>3.4372299516073279</v>
      </c>
      <c r="D5" t="s">
        <v>41</v>
      </c>
    </row>
    <row r="7" spans="2:16" x14ac:dyDescent="0.3">
      <c r="B7" t="s">
        <v>39</v>
      </c>
      <c r="C7" s="30">
        <v>300</v>
      </c>
      <c r="D7" t="s">
        <v>7</v>
      </c>
    </row>
    <row r="8" spans="2:16" x14ac:dyDescent="0.3">
      <c r="B8" t="s">
        <v>38</v>
      </c>
      <c r="C8">
        <f>C7+3396</f>
        <v>3696</v>
      </c>
      <c r="D8" t="s">
        <v>7</v>
      </c>
    </row>
    <row r="9" spans="2:16" x14ac:dyDescent="0.3">
      <c r="B9" t="s">
        <v>42</v>
      </c>
      <c r="C9" s="29">
        <f>SQRT(2*(C5+(C2/C8)))</f>
        <v>5.4817683805993962</v>
      </c>
      <c r="D9" t="s">
        <v>18</v>
      </c>
    </row>
    <row r="10" spans="2:16" x14ac:dyDescent="0.3">
      <c r="B10" t="s">
        <v>43</v>
      </c>
      <c r="C10" s="29">
        <f>SQRT(2*C2/C8)</f>
        <v>4.814075682342839</v>
      </c>
      <c r="D10" t="s">
        <v>18</v>
      </c>
    </row>
    <row r="11" spans="2:16" x14ac:dyDescent="0.3">
      <c r="B11" t="s">
        <v>44</v>
      </c>
      <c r="C11" s="32">
        <f>C9-C10</f>
        <v>0.66769269825655719</v>
      </c>
      <c r="D11" t="s">
        <v>18</v>
      </c>
      <c r="E11" s="40" t="s">
        <v>51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</row>
    <row r="12" spans="2:16" x14ac:dyDescent="0.3">
      <c r="C12" s="33"/>
    </row>
    <row r="13" spans="2:16" x14ac:dyDescent="0.3">
      <c r="B13" t="s">
        <v>35</v>
      </c>
      <c r="C13" s="15">
        <v>5786000</v>
      </c>
      <c r="D13" t="s">
        <v>7</v>
      </c>
    </row>
    <row r="15" spans="2:16" x14ac:dyDescent="0.3">
      <c r="B15" t="s">
        <v>47</v>
      </c>
      <c r="C15">
        <f>(2*C4)/(0.7*C3+0.3*C9)</f>
        <v>330672.92750016548</v>
      </c>
      <c r="D15" t="s">
        <v>11</v>
      </c>
    </row>
    <row r="16" spans="2:16" x14ac:dyDescent="0.3">
      <c r="C16" s="29">
        <f>C15/86400</f>
        <v>3.827232957177841</v>
      </c>
      <c r="D16" t="s">
        <v>48</v>
      </c>
      <c r="E16" t="s">
        <v>50</v>
      </c>
    </row>
  </sheetData>
  <mergeCells count="1">
    <mergeCell ref="E11:P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Mars-Mars</vt:lpstr>
      <vt:lpstr>Mars Eclipse</vt:lpstr>
      <vt:lpstr>Sheet1</vt:lpstr>
      <vt:lpstr>Earth-Mars</vt:lpstr>
      <vt:lpstr>Mars 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Campbell</dc:creator>
  <cp:lastModifiedBy>Lyle Campbell</cp:lastModifiedBy>
  <dcterms:created xsi:type="dcterms:W3CDTF">2020-04-17T09:00:13Z</dcterms:created>
  <dcterms:modified xsi:type="dcterms:W3CDTF">2020-05-20T11:45:14Z</dcterms:modified>
</cp:coreProperties>
</file>