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uno\Documents\mageus\TCC\Humberto\"/>
    </mc:Choice>
  </mc:AlternateContent>
  <bookViews>
    <workbookView xWindow="-120" yWindow="-120" windowWidth="20730" windowHeight="11160" activeTab="5"/>
  </bookViews>
  <sheets>
    <sheet name="Capa" sheetId="50" r:id="rId1"/>
    <sheet name="Investimento Inicial" sheetId="4" r:id="rId2"/>
    <sheet name="Calculo de custo" sheetId="2" r:id="rId3"/>
    <sheet name="Salários" sheetId="33" r:id="rId4"/>
    <sheet name="Calculo Custo Serviço" sheetId="20" state="hidden" r:id="rId5"/>
    <sheet name="Mercado" sheetId="1" r:id="rId6"/>
    <sheet name="Cálculo M.O terceirizada" sheetId="21" state="hidden" r:id="rId7"/>
    <sheet name="Demanda Kw" sheetId="41" state="hidden" r:id="rId8"/>
    <sheet name="Demanda" sheetId="38" state="hidden" r:id="rId9"/>
    <sheet name="faturamento" sheetId="42" r:id="rId10"/>
    <sheet name="Fluxo de Caixa 01" sheetId="10" r:id="rId11"/>
    <sheet name="Fluxo de Caixa 02" sheetId="19" r:id="rId12"/>
    <sheet name="Fluxo de caixa 03" sheetId="22" r:id="rId13"/>
    <sheet name="Balanço" sheetId="25" r:id="rId14"/>
    <sheet name="Planilha3" sheetId="46" state="hidden" r:id="rId15"/>
    <sheet name="Planilha2" sheetId="45" state="hidden" r:id="rId16"/>
    <sheet name="Custo M.O" sheetId="43" state="hidden" r:id="rId17"/>
    <sheet name="Fluxo de Caixa 04" sheetId="36" state="hidden" r:id="rId18"/>
    <sheet name="Fluxo de Caixa 05" sheetId="37" state="hidden" r:id="rId19"/>
    <sheet name="Custos tabela" sheetId="35" state="hidden" r:id="rId20"/>
    <sheet name="Rozonete Inicial" sheetId="26" state="hidden" r:id="rId21"/>
    <sheet name="Razonete Ano2" sheetId="28" state="hidden" r:id="rId22"/>
    <sheet name="Indíces" sheetId="29" state="hidden" r:id="rId23"/>
    <sheet name="Empréstimo" sheetId="32" state="hidden" r:id="rId24"/>
    <sheet name="FC TRABALHO" sheetId="30" state="hidden" r:id="rId25"/>
    <sheet name="impostos" sheetId="31" state="hidden" r:id="rId26"/>
    <sheet name="IRPJ" sheetId="34" state="hidden" r:id="rId27"/>
    <sheet name="Simples" sheetId="11" r:id="rId28"/>
  </sheets>
  <externalReferences>
    <externalReference r:id="rId29"/>
    <externalReference r:id="rId30"/>
    <externalReference r:id="rId31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3" l="1"/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11" i="1"/>
  <c r="E9" i="1"/>
  <c r="D14" i="33"/>
  <c r="E14" i="33" s="1"/>
  <c r="F14" i="33" s="1"/>
  <c r="G14" i="33" s="1"/>
  <c r="F38" i="2"/>
  <c r="E38" i="2"/>
  <c r="O18" i="10"/>
  <c r="F26" i="2"/>
  <c r="F27" i="2"/>
  <c r="F28" i="2"/>
  <c r="F29" i="2"/>
  <c r="F30" i="2"/>
  <c r="F31" i="2"/>
  <c r="F32" i="2"/>
  <c r="F33" i="2"/>
  <c r="F34" i="2"/>
  <c r="F35" i="2"/>
  <c r="F36" i="2"/>
  <c r="F37" i="2"/>
  <c r="F25" i="2"/>
  <c r="D19" i="2"/>
  <c r="D12" i="33"/>
  <c r="E12" i="33" s="1"/>
  <c r="F12" i="33" s="1"/>
  <c r="G12" i="33" s="1"/>
  <c r="K62" i="25"/>
  <c r="C12" i="42" l="1"/>
  <c r="D12" i="42" s="1"/>
  <c r="E12" i="42" s="1"/>
  <c r="C3" i="42"/>
  <c r="D3" i="42" s="1"/>
  <c r="E3" i="42" s="1"/>
  <c r="C13" i="42"/>
  <c r="D13" i="42" s="1"/>
  <c r="E13" i="42" s="1"/>
  <c r="C14" i="42"/>
  <c r="D14" i="42" s="1"/>
  <c r="E14" i="42" s="1"/>
  <c r="C10" i="42"/>
  <c r="D10" i="42" s="1"/>
  <c r="E10" i="42" s="1"/>
  <c r="C9" i="42"/>
  <c r="D9" i="42" s="1"/>
  <c r="E9" i="42" s="1"/>
  <c r="C11" i="42"/>
  <c r="D11" i="42" s="1"/>
  <c r="E11" i="42" s="1"/>
  <c r="C8" i="42"/>
  <c r="D8" i="42" s="1"/>
  <c r="E8" i="42" s="1"/>
  <c r="C7" i="42"/>
  <c r="D7" i="42" s="1"/>
  <c r="E7" i="42" s="1"/>
  <c r="C6" i="42"/>
  <c r="D6" i="42" s="1"/>
  <c r="E6" i="42" s="1"/>
  <c r="C5" i="42"/>
  <c r="D5" i="42" s="1"/>
  <c r="E5" i="42" s="1"/>
  <c r="C4" i="42"/>
  <c r="D30" i="29"/>
  <c r="D31" i="29"/>
  <c r="D32" i="29"/>
  <c r="D33" i="29"/>
  <c r="D34" i="29"/>
  <c r="D35" i="29"/>
  <c r="D36" i="29"/>
  <c r="D37" i="29"/>
  <c r="D38" i="29"/>
  <c r="D39" i="29"/>
  <c r="D40" i="29"/>
  <c r="D29" i="29"/>
  <c r="D18" i="29"/>
  <c r="D19" i="29"/>
  <c r="D20" i="29"/>
  <c r="D21" i="29"/>
  <c r="D22" i="29"/>
  <c r="D23" i="29"/>
  <c r="D24" i="29"/>
  <c r="D25" i="29"/>
  <c r="D26" i="29"/>
  <c r="D27" i="29"/>
  <c r="D28" i="29"/>
  <c r="D17" i="29"/>
  <c r="D6" i="29"/>
  <c r="D7" i="29"/>
  <c r="D8" i="29"/>
  <c r="D9" i="29"/>
  <c r="D10" i="29"/>
  <c r="D11" i="29"/>
  <c r="D12" i="29"/>
  <c r="D13" i="29"/>
  <c r="D14" i="29"/>
  <c r="D15" i="29"/>
  <c r="D16" i="29"/>
  <c r="D5" i="29"/>
  <c r="N10" i="25"/>
  <c r="N9" i="25"/>
  <c r="P6" i="30"/>
  <c r="L3" i="46"/>
  <c r="B5" i="46" s="1"/>
  <c r="C7" i="46"/>
  <c r="C6" i="46"/>
  <c r="C5" i="46"/>
  <c r="B23" i="46"/>
  <c r="C4" i="46" s="1"/>
  <c r="B16" i="46"/>
  <c r="C3" i="46" s="1"/>
  <c r="R5" i="46"/>
  <c r="S4" i="46"/>
  <c r="R4" i="46" s="1"/>
  <c r="B32" i="46" s="1"/>
  <c r="H25" i="43"/>
  <c r="G25" i="43"/>
  <c r="F25" i="43"/>
  <c r="E25" i="43"/>
  <c r="E48" i="43" s="1"/>
  <c r="E71" i="43" s="1"/>
  <c r="E94" i="43" s="1"/>
  <c r="E116" i="43" s="1"/>
  <c r="D25" i="43"/>
  <c r="D48" i="43" s="1"/>
  <c r="D71" i="43" s="1"/>
  <c r="D94" i="43" s="1"/>
  <c r="D116" i="43" s="1"/>
  <c r="O17" i="22"/>
  <c r="O3" i="22"/>
  <c r="E32" i="22"/>
  <c r="P32" i="22" s="1"/>
  <c r="O31" i="22"/>
  <c r="N31" i="22"/>
  <c r="M31" i="22"/>
  <c r="L31" i="22"/>
  <c r="K31" i="22"/>
  <c r="H31" i="22"/>
  <c r="G31" i="22"/>
  <c r="F31" i="22"/>
  <c r="E31" i="22"/>
  <c r="D31" i="22"/>
  <c r="C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N27" i="22"/>
  <c r="N26" i="22" s="1"/>
  <c r="M27" i="22"/>
  <c r="M26" i="22" s="1"/>
  <c r="L27" i="22"/>
  <c r="L26" i="22" s="1"/>
  <c r="K27" i="22"/>
  <c r="K26" i="22" s="1"/>
  <c r="J27" i="22"/>
  <c r="J26" i="22" s="1"/>
  <c r="I27" i="22"/>
  <c r="I26" i="22" s="1"/>
  <c r="H27" i="22"/>
  <c r="H26" i="22" s="1"/>
  <c r="G27" i="22"/>
  <c r="G26" i="22" s="1"/>
  <c r="F27" i="22"/>
  <c r="F26" i="22" s="1"/>
  <c r="E27" i="22"/>
  <c r="E26" i="22" s="1"/>
  <c r="D27" i="22"/>
  <c r="D26" i="22" s="1"/>
  <c r="C27" i="22"/>
  <c r="C26" i="22" s="1"/>
  <c r="P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P23" i="22"/>
  <c r="P16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P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N9" i="22"/>
  <c r="M9" i="22"/>
  <c r="L9" i="22"/>
  <c r="K9" i="22"/>
  <c r="J9" i="22"/>
  <c r="J8" i="22" s="1"/>
  <c r="I9" i="22"/>
  <c r="H9" i="22"/>
  <c r="G9" i="22"/>
  <c r="F9" i="22"/>
  <c r="E9" i="22"/>
  <c r="D9" i="22"/>
  <c r="C9" i="22"/>
  <c r="P13" i="19"/>
  <c r="L31" i="19"/>
  <c r="C3" i="10"/>
  <c r="B7" i="33"/>
  <c r="E31" i="19"/>
  <c r="G31" i="19"/>
  <c r="M31" i="19"/>
  <c r="N31" i="19"/>
  <c r="O31" i="19"/>
  <c r="M4" i="38"/>
  <c r="L4" i="38"/>
  <c r="K4" i="38"/>
  <c r="J4" i="38"/>
  <c r="I4" i="38"/>
  <c r="H4" i="38"/>
  <c r="G4" i="38"/>
  <c r="F4" i="38"/>
  <c r="E4" i="38"/>
  <c r="D4" i="38"/>
  <c r="C4" i="38"/>
  <c r="B4" i="38"/>
  <c r="C9" i="19"/>
  <c r="D9" i="19"/>
  <c r="E9" i="19"/>
  <c r="F9" i="19"/>
  <c r="G9" i="19"/>
  <c r="H9" i="19"/>
  <c r="I9" i="19"/>
  <c r="J9" i="19"/>
  <c r="K9" i="19"/>
  <c r="L9" i="19"/>
  <c r="M9" i="19"/>
  <c r="N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K31" i="19"/>
  <c r="H31" i="19"/>
  <c r="F31" i="19"/>
  <c r="D31" i="19"/>
  <c r="C31" i="19"/>
  <c r="C38" i="32"/>
  <c r="D2" i="32"/>
  <c r="B3" i="32" s="1"/>
  <c r="D3" i="32" s="1"/>
  <c r="B4" i="32" s="1"/>
  <c r="D4" i="32" s="1"/>
  <c r="B5" i="32" s="1"/>
  <c r="D5" i="32" s="1"/>
  <c r="B6" i="32" s="1"/>
  <c r="D6" i="32" s="1"/>
  <c r="B7" i="32" s="1"/>
  <c r="D7" i="32" s="1"/>
  <c r="B8" i="32" s="1"/>
  <c r="D8" i="32" s="1"/>
  <c r="B9" i="32" s="1"/>
  <c r="D9" i="32" s="1"/>
  <c r="B10" i="32" s="1"/>
  <c r="D10" i="32" s="1"/>
  <c r="B11" i="32" s="1"/>
  <c r="D11" i="32" s="1"/>
  <c r="B12" i="32" s="1"/>
  <c r="D12" i="32" s="1"/>
  <c r="B13" i="32" s="1"/>
  <c r="D13" i="32" s="1"/>
  <c r="B14" i="32" s="1"/>
  <c r="D14" i="32" s="1"/>
  <c r="B15" i="32" s="1"/>
  <c r="D15" i="32" s="1"/>
  <c r="B16" i="32" s="1"/>
  <c r="D16" i="32" s="1"/>
  <c r="B17" i="32" s="1"/>
  <c r="D17" i="32" s="1"/>
  <c r="B18" i="32" s="1"/>
  <c r="D18" i="32" s="1"/>
  <c r="B19" i="32" s="1"/>
  <c r="D19" i="32" s="1"/>
  <c r="B20" i="32" s="1"/>
  <c r="D20" i="32" s="1"/>
  <c r="B21" i="32" s="1"/>
  <c r="D21" i="32" s="1"/>
  <c r="B22" i="32" s="1"/>
  <c r="D22" i="32" s="1"/>
  <c r="B23" i="32" s="1"/>
  <c r="D23" i="32" s="1"/>
  <c r="B24" i="32" s="1"/>
  <c r="D24" i="32" s="1"/>
  <c r="B25" i="32" s="1"/>
  <c r="D25" i="32" s="1"/>
  <c r="B26" i="32" s="1"/>
  <c r="D26" i="32" s="1"/>
  <c r="B27" i="32" s="1"/>
  <c r="D27" i="32" s="1"/>
  <c r="B28" i="32" s="1"/>
  <c r="D28" i="32" s="1"/>
  <c r="B29" i="32" s="1"/>
  <c r="D29" i="32" s="1"/>
  <c r="B30" i="32" s="1"/>
  <c r="D30" i="32" s="1"/>
  <c r="B31" i="32" s="1"/>
  <c r="D31" i="32" s="1"/>
  <c r="B32" i="32" s="1"/>
  <c r="D32" i="32" s="1"/>
  <c r="B33" i="32" s="1"/>
  <c r="D33" i="32" s="1"/>
  <c r="B34" i="32" s="1"/>
  <c r="D34" i="32" s="1"/>
  <c r="B35" i="32" s="1"/>
  <c r="D35" i="32" s="1"/>
  <c r="B36" i="32" s="1"/>
  <c r="D36" i="32" s="1"/>
  <c r="B37" i="32" s="1"/>
  <c r="D37" i="32" s="1"/>
  <c r="J5" i="43"/>
  <c r="K96" i="43"/>
  <c r="J96" i="43"/>
  <c r="K74" i="43"/>
  <c r="J74" i="43"/>
  <c r="N9" i="43"/>
  <c r="O7" i="43" s="1"/>
  <c r="F39" i="43"/>
  <c r="F48" i="43"/>
  <c r="F71" i="43" s="1"/>
  <c r="F94" i="43" s="1"/>
  <c r="F116" i="43" s="1"/>
  <c r="D47" i="43"/>
  <c r="D70" i="43" s="1"/>
  <c r="D93" i="43" s="1"/>
  <c r="D115" i="43" s="1"/>
  <c r="H48" i="43"/>
  <c r="H71" i="43" s="1"/>
  <c r="H94" i="43" s="1"/>
  <c r="H116" i="43" s="1"/>
  <c r="G48" i="43"/>
  <c r="G71" i="43" s="1"/>
  <c r="G94" i="43" s="1"/>
  <c r="G116" i="43" s="1"/>
  <c r="C48" i="43"/>
  <c r="C71" i="43" s="1"/>
  <c r="C94" i="43" s="1"/>
  <c r="C116" i="43" s="1"/>
  <c r="H47" i="43"/>
  <c r="H70" i="43" s="1"/>
  <c r="H93" i="43" s="1"/>
  <c r="H115" i="43" s="1"/>
  <c r="G47" i="43"/>
  <c r="G70" i="43" s="1"/>
  <c r="G93" i="43" s="1"/>
  <c r="G115" i="43" s="1"/>
  <c r="F47" i="43"/>
  <c r="F70" i="43" s="1"/>
  <c r="F93" i="43" s="1"/>
  <c r="F115" i="43" s="1"/>
  <c r="E47" i="43"/>
  <c r="E70" i="43" s="1"/>
  <c r="E93" i="43" s="1"/>
  <c r="E115" i="43" s="1"/>
  <c r="C47" i="43"/>
  <c r="C70" i="43" s="1"/>
  <c r="C93" i="43" s="1"/>
  <c r="C115" i="43" s="1"/>
  <c r="F23" i="43"/>
  <c r="F46" i="43" s="1"/>
  <c r="F69" i="43" s="1"/>
  <c r="F92" i="43" s="1"/>
  <c r="F114" i="43" s="1"/>
  <c r="H22" i="43"/>
  <c r="H45" i="43" s="1"/>
  <c r="H68" i="43" s="1"/>
  <c r="G22" i="43"/>
  <c r="G45" i="43" s="1"/>
  <c r="F22" i="43"/>
  <c r="F45" i="43" s="1"/>
  <c r="E22" i="43"/>
  <c r="E45" i="43" s="1"/>
  <c r="D22" i="43"/>
  <c r="D45" i="43" s="1"/>
  <c r="C22" i="43"/>
  <c r="C45" i="43" s="1"/>
  <c r="AA52" i="43"/>
  <c r="Z52" i="43"/>
  <c r="AA51" i="43"/>
  <c r="Z51" i="43"/>
  <c r="AA50" i="43"/>
  <c r="Z50" i="43"/>
  <c r="AA49" i="43"/>
  <c r="AA53" i="43" s="1"/>
  <c r="Z49" i="43"/>
  <c r="Y31" i="43"/>
  <c r="Y30" i="43"/>
  <c r="Y29" i="43"/>
  <c r="Y28" i="43"/>
  <c r="Y32" i="43" s="1"/>
  <c r="F85" i="43"/>
  <c r="F108" i="43"/>
  <c r="C15" i="42" l="1"/>
  <c r="D4" i="42"/>
  <c r="D13" i="33"/>
  <c r="E13" i="33" s="1"/>
  <c r="F13" i="33" s="1"/>
  <c r="G13" i="33" s="1"/>
  <c r="P2" i="30"/>
  <c r="C18" i="10"/>
  <c r="G28" i="22"/>
  <c r="P30" i="22"/>
  <c r="F35" i="43"/>
  <c r="C28" i="22"/>
  <c r="E23" i="43"/>
  <c r="E46" i="43" s="1"/>
  <c r="E69" i="43" s="1"/>
  <c r="E92" i="43" s="1"/>
  <c r="E114" i="43" s="1"/>
  <c r="D8" i="22"/>
  <c r="L8" i="22"/>
  <c r="K28" i="22"/>
  <c r="E8" i="22"/>
  <c r="M8" i="22"/>
  <c r="E28" i="22"/>
  <c r="M28" i="22"/>
  <c r="F28" i="22"/>
  <c r="N28" i="22"/>
  <c r="J28" i="22"/>
  <c r="B13" i="46"/>
  <c r="P9" i="22"/>
  <c r="P10" i="22"/>
  <c r="P12" i="22"/>
  <c r="F8" i="22"/>
  <c r="N8" i="22"/>
  <c r="I28" i="22"/>
  <c r="P31" i="19"/>
  <c r="H8" i="22"/>
  <c r="I8" i="22"/>
  <c r="P29" i="22"/>
  <c r="P24" i="22"/>
  <c r="D28" i="22"/>
  <c r="L28" i="22"/>
  <c r="H28" i="22"/>
  <c r="E82" i="43"/>
  <c r="K8" i="22"/>
  <c r="P14" i="22"/>
  <c r="P31" i="22"/>
  <c r="C8" i="22"/>
  <c r="E62" i="43"/>
  <c r="E58" i="43"/>
  <c r="P26" i="22"/>
  <c r="F62" i="43"/>
  <c r="F58" i="43"/>
  <c r="F31" i="43"/>
  <c r="E38" i="43"/>
  <c r="E34" i="43"/>
  <c r="F13" i="43"/>
  <c r="F63" i="43"/>
  <c r="F55" i="43"/>
  <c r="E39" i="43"/>
  <c r="E35" i="43"/>
  <c r="E110" i="43"/>
  <c r="E102" i="43"/>
  <c r="F83" i="43"/>
  <c r="E80" i="43"/>
  <c r="E63" i="43"/>
  <c r="E59" i="43"/>
  <c r="E55" i="43"/>
  <c r="F40" i="43"/>
  <c r="F36" i="43"/>
  <c r="F32" i="43"/>
  <c r="F105" i="43"/>
  <c r="E77" i="43"/>
  <c r="F86" i="43"/>
  <c r="E83" i="43"/>
  <c r="F78" i="43"/>
  <c r="F64" i="43"/>
  <c r="W53" i="43" s="1"/>
  <c r="F60" i="43"/>
  <c r="F56" i="43"/>
  <c r="E40" i="43"/>
  <c r="E36" i="43"/>
  <c r="E32" i="43"/>
  <c r="E108" i="43"/>
  <c r="E100" i="43"/>
  <c r="E86" i="43"/>
  <c r="F81" i="43"/>
  <c r="E78" i="43"/>
  <c r="E60" i="43"/>
  <c r="F41" i="43"/>
  <c r="U32" i="43" s="1"/>
  <c r="F37" i="43"/>
  <c r="F33" i="43"/>
  <c r="E107" i="43"/>
  <c r="F103" i="43"/>
  <c r="E81" i="43"/>
  <c r="E41" i="43"/>
  <c r="T32" i="43" s="1"/>
  <c r="E37" i="43"/>
  <c r="E33" i="43"/>
  <c r="F87" i="43"/>
  <c r="F79" i="43"/>
  <c r="E65" i="43"/>
  <c r="E57" i="43"/>
  <c r="E31" i="43"/>
  <c r="F38" i="43"/>
  <c r="F34" i="43"/>
  <c r="P27" i="22"/>
  <c r="G8" i="22"/>
  <c r="P11" i="22"/>
  <c r="M8" i="19"/>
  <c r="L8" i="19"/>
  <c r="D8" i="19"/>
  <c r="E8" i="19"/>
  <c r="N8" i="19"/>
  <c r="F8" i="19"/>
  <c r="H8" i="19"/>
  <c r="G8" i="19"/>
  <c r="I8" i="19"/>
  <c r="K8" i="19"/>
  <c r="J8" i="19"/>
  <c r="C8" i="19"/>
  <c r="O8" i="43"/>
  <c r="K5" i="43" s="1"/>
  <c r="E13" i="43"/>
  <c r="E9" i="43"/>
  <c r="C23" i="43"/>
  <c r="E8" i="43"/>
  <c r="F15" i="43"/>
  <c r="E12" i="43"/>
  <c r="F16" i="43"/>
  <c r="E17" i="43"/>
  <c r="F12" i="43"/>
  <c r="D23" i="43"/>
  <c r="D21" i="43" s="1"/>
  <c r="F8" i="43"/>
  <c r="F18" i="43"/>
  <c r="E15" i="43"/>
  <c r="F10" i="43"/>
  <c r="E10" i="43"/>
  <c r="F11" i="43"/>
  <c r="E19" i="43"/>
  <c r="E42" i="43" s="1"/>
  <c r="F14" i="43"/>
  <c r="E11" i="43"/>
  <c r="E18" i="43"/>
  <c r="F19" i="43"/>
  <c r="F42" i="43" s="1"/>
  <c r="E16" i="43"/>
  <c r="F17" i="43"/>
  <c r="E14" i="43"/>
  <c r="F9" i="43"/>
  <c r="F68" i="43"/>
  <c r="F44" i="43"/>
  <c r="D68" i="43"/>
  <c r="E68" i="43"/>
  <c r="E44" i="43"/>
  <c r="G68" i="43"/>
  <c r="H91" i="43"/>
  <c r="C68" i="43"/>
  <c r="G23" i="43"/>
  <c r="H23" i="43"/>
  <c r="E21" i="43"/>
  <c r="F21" i="43"/>
  <c r="F109" i="43"/>
  <c r="F101" i="43"/>
  <c r="E105" i="43"/>
  <c r="E104" i="43"/>
  <c r="E99" i="43"/>
  <c r="E103" i="43"/>
  <c r="F107" i="43"/>
  <c r="F88" i="43"/>
  <c r="F104" i="43"/>
  <c r="F80" i="43"/>
  <c r="F100" i="43"/>
  <c r="F106" i="43"/>
  <c r="E84" i="43"/>
  <c r="E109" i="43"/>
  <c r="E101" i="43"/>
  <c r="W29" i="43"/>
  <c r="V49" i="43"/>
  <c r="W31" i="43"/>
  <c r="V29" i="43"/>
  <c r="V30" i="43"/>
  <c r="W32" i="43"/>
  <c r="Z53" i="43"/>
  <c r="U28" i="43"/>
  <c r="V31" i="43"/>
  <c r="W30" i="43"/>
  <c r="X51" i="43"/>
  <c r="X50" i="43"/>
  <c r="X49" i="43"/>
  <c r="V28" i="43"/>
  <c r="W28" i="43"/>
  <c r="D15" i="42" l="1"/>
  <c r="E4" i="42"/>
  <c r="E15" i="42" s="1"/>
  <c r="C20" i="10"/>
  <c r="C23" i="10"/>
  <c r="D16" i="33"/>
  <c r="P8" i="22"/>
  <c r="P28" i="22"/>
  <c r="E54" i="43"/>
  <c r="V50" i="43" s="1"/>
  <c r="E85" i="43"/>
  <c r="E88" i="43"/>
  <c r="U31" i="43"/>
  <c r="T31" i="43"/>
  <c r="E17" i="42"/>
  <c r="C17" i="42"/>
  <c r="E79" i="43"/>
  <c r="F82" i="43"/>
  <c r="U29" i="43"/>
  <c r="F57" i="43"/>
  <c r="W51" i="43" s="1"/>
  <c r="E56" i="43"/>
  <c r="V51" i="43" s="1"/>
  <c r="F59" i="43"/>
  <c r="E61" i="43"/>
  <c r="V52" i="43" s="1"/>
  <c r="F65" i="43"/>
  <c r="F61" i="43"/>
  <c r="F84" i="43"/>
  <c r="E64" i="43"/>
  <c r="V53" i="43" s="1"/>
  <c r="E87" i="43"/>
  <c r="F54" i="43"/>
  <c r="W50" i="43" s="1"/>
  <c r="O9" i="43"/>
  <c r="F43" i="43"/>
  <c r="H10" i="43"/>
  <c r="H18" i="43"/>
  <c r="H20" i="43"/>
  <c r="H43" i="43" s="1"/>
  <c r="H13" i="43"/>
  <c r="H11" i="43"/>
  <c r="H19" i="43"/>
  <c r="H42" i="43" s="1"/>
  <c r="H12" i="43"/>
  <c r="H15" i="43"/>
  <c r="H17" i="43"/>
  <c r="H8" i="43"/>
  <c r="H14" i="43"/>
  <c r="H16" i="43"/>
  <c r="H9" i="43"/>
  <c r="E20" i="43"/>
  <c r="C46" i="43"/>
  <c r="C16" i="43"/>
  <c r="C8" i="43"/>
  <c r="C12" i="43"/>
  <c r="C13" i="43"/>
  <c r="C10" i="43"/>
  <c r="C18" i="43"/>
  <c r="C15" i="43"/>
  <c r="C9" i="43"/>
  <c r="C17" i="43"/>
  <c r="C19" i="43"/>
  <c r="C14" i="43"/>
  <c r="C11" i="43"/>
  <c r="T30" i="43"/>
  <c r="G12" i="43"/>
  <c r="G9" i="43"/>
  <c r="G17" i="43"/>
  <c r="G14" i="43"/>
  <c r="G16" i="43"/>
  <c r="G13" i="43"/>
  <c r="G8" i="43"/>
  <c r="G10" i="43"/>
  <c r="G18" i="43"/>
  <c r="G15" i="43"/>
  <c r="G11" i="43"/>
  <c r="G19" i="43"/>
  <c r="G42" i="43" s="1"/>
  <c r="D46" i="43"/>
  <c r="D11" i="43"/>
  <c r="D19" i="43"/>
  <c r="D42" i="43" s="1"/>
  <c r="D13" i="43"/>
  <c r="D18" i="43"/>
  <c r="D16" i="43"/>
  <c r="D10" i="43"/>
  <c r="D15" i="43"/>
  <c r="D12" i="43"/>
  <c r="D9" i="43"/>
  <c r="D17" i="43"/>
  <c r="D14" i="43"/>
  <c r="D8" i="43"/>
  <c r="F20" i="43"/>
  <c r="C21" i="43"/>
  <c r="U30" i="43"/>
  <c r="E43" i="43"/>
  <c r="T29" i="43"/>
  <c r="E91" i="43"/>
  <c r="E67" i="43"/>
  <c r="D91" i="43"/>
  <c r="H113" i="43"/>
  <c r="H46" i="43"/>
  <c r="H21" i="43"/>
  <c r="G91" i="43"/>
  <c r="G46" i="43"/>
  <c r="G21" i="43"/>
  <c r="C91" i="43"/>
  <c r="F91" i="43"/>
  <c r="F67" i="43"/>
  <c r="F102" i="43"/>
  <c r="E106" i="43"/>
  <c r="E111" i="43" s="1"/>
  <c r="F110" i="43"/>
  <c r="T28" i="43"/>
  <c r="W49" i="43"/>
  <c r="X52" i="43"/>
  <c r="E16" i="33" l="1"/>
  <c r="F16" i="33" s="1"/>
  <c r="G16" i="33" s="1"/>
  <c r="E15" i="33"/>
  <c r="F15" i="33" s="1"/>
  <c r="G15" i="33" s="1"/>
  <c r="K16" i="25"/>
  <c r="I9" i="43"/>
  <c r="J9" i="43" s="1"/>
  <c r="E89" i="43"/>
  <c r="E66" i="43"/>
  <c r="W52" i="43"/>
  <c r="D17" i="42"/>
  <c r="F99" i="43"/>
  <c r="F111" i="43" s="1"/>
  <c r="F77" i="43"/>
  <c r="F89" i="43" s="1"/>
  <c r="F66" i="43"/>
  <c r="I17" i="43"/>
  <c r="I16" i="43"/>
  <c r="I15" i="43"/>
  <c r="I18" i="43"/>
  <c r="H35" i="43"/>
  <c r="H39" i="43"/>
  <c r="H32" i="43"/>
  <c r="H34" i="43"/>
  <c r="H38" i="43"/>
  <c r="H36" i="43"/>
  <c r="H33" i="43"/>
  <c r="H37" i="43"/>
  <c r="H41" i="43"/>
  <c r="V32" i="43" s="1"/>
  <c r="H31" i="43"/>
  <c r="H40" i="43"/>
  <c r="I10" i="43"/>
  <c r="I11" i="43"/>
  <c r="I13" i="43"/>
  <c r="G31" i="43"/>
  <c r="G34" i="43"/>
  <c r="G38" i="43"/>
  <c r="G33" i="43"/>
  <c r="G37" i="43"/>
  <c r="G41" i="43"/>
  <c r="G32" i="43"/>
  <c r="G36" i="43"/>
  <c r="G40" i="43"/>
  <c r="G35" i="43"/>
  <c r="G39" i="43"/>
  <c r="C32" i="43"/>
  <c r="C36" i="43"/>
  <c r="C40" i="43"/>
  <c r="C42" i="43"/>
  <c r="I42" i="43" s="1"/>
  <c r="C35" i="43"/>
  <c r="C39" i="43"/>
  <c r="C31" i="43"/>
  <c r="C34" i="43"/>
  <c r="C38" i="43"/>
  <c r="C33" i="43"/>
  <c r="C37" i="43"/>
  <c r="C41" i="43"/>
  <c r="S32" i="43" s="1"/>
  <c r="I14" i="43"/>
  <c r="I12" i="43"/>
  <c r="D33" i="43"/>
  <c r="D37" i="43"/>
  <c r="D41" i="43"/>
  <c r="D31" i="43"/>
  <c r="D34" i="43"/>
  <c r="D32" i="43"/>
  <c r="D36" i="43"/>
  <c r="D40" i="43"/>
  <c r="D35" i="43"/>
  <c r="D39" i="43"/>
  <c r="D38" i="43"/>
  <c r="I19" i="43"/>
  <c r="I8" i="43"/>
  <c r="D23" i="42"/>
  <c r="D20" i="43"/>
  <c r="G20" i="43"/>
  <c r="D69" i="43"/>
  <c r="D44" i="43"/>
  <c r="C20" i="43"/>
  <c r="C69" i="43"/>
  <c r="C44" i="43"/>
  <c r="G113" i="43"/>
  <c r="D113" i="43"/>
  <c r="F90" i="43"/>
  <c r="F113" i="43"/>
  <c r="F112" i="43" s="1"/>
  <c r="H69" i="43"/>
  <c r="H44" i="43"/>
  <c r="E113" i="43"/>
  <c r="E112" i="43" s="1"/>
  <c r="E90" i="43"/>
  <c r="G69" i="43"/>
  <c r="G44" i="43"/>
  <c r="C113" i="43"/>
  <c r="D66" i="42"/>
  <c r="D44" i="42"/>
  <c r="S28" i="43"/>
  <c r="K9" i="43" l="1"/>
  <c r="J19" i="43"/>
  <c r="K19" i="43"/>
  <c r="I37" i="43"/>
  <c r="I40" i="43"/>
  <c r="J10" i="43"/>
  <c r="K10" i="43"/>
  <c r="D54" i="43"/>
  <c r="D56" i="43"/>
  <c r="D60" i="43"/>
  <c r="D64" i="43"/>
  <c r="D55" i="43"/>
  <c r="D59" i="43"/>
  <c r="D63" i="43"/>
  <c r="D58" i="43"/>
  <c r="D62" i="43"/>
  <c r="D57" i="43"/>
  <c r="D61" i="43"/>
  <c r="D65" i="43"/>
  <c r="I33" i="43"/>
  <c r="S30" i="43"/>
  <c r="I34" i="43"/>
  <c r="I36" i="43"/>
  <c r="S31" i="43"/>
  <c r="G58" i="43"/>
  <c r="G62" i="43"/>
  <c r="G57" i="43"/>
  <c r="G61" i="43"/>
  <c r="G65" i="43"/>
  <c r="G55" i="43"/>
  <c r="G56" i="43"/>
  <c r="G60" i="43"/>
  <c r="G64" i="43"/>
  <c r="G63" i="43"/>
  <c r="G54" i="43"/>
  <c r="G59" i="43"/>
  <c r="I38" i="43"/>
  <c r="C56" i="43"/>
  <c r="C60" i="43"/>
  <c r="C64" i="43"/>
  <c r="C57" i="43"/>
  <c r="C61" i="43"/>
  <c r="C55" i="43"/>
  <c r="C59" i="43"/>
  <c r="C63" i="43"/>
  <c r="C54" i="43"/>
  <c r="C58" i="43"/>
  <c r="C62" i="43"/>
  <c r="C65" i="43"/>
  <c r="I31" i="43"/>
  <c r="J18" i="43"/>
  <c r="K18" i="43"/>
  <c r="I32" i="43"/>
  <c r="J12" i="43"/>
  <c r="K12" i="43"/>
  <c r="I39" i="43"/>
  <c r="J15" i="43"/>
  <c r="K15" i="43"/>
  <c r="H58" i="43"/>
  <c r="H62" i="43"/>
  <c r="H57" i="43"/>
  <c r="H61" i="43"/>
  <c r="H65" i="43"/>
  <c r="H54" i="43"/>
  <c r="H56" i="43"/>
  <c r="H60" i="43"/>
  <c r="H64" i="43"/>
  <c r="X53" i="43" s="1"/>
  <c r="H55" i="43"/>
  <c r="H59" i="43"/>
  <c r="H63" i="43"/>
  <c r="J14" i="43"/>
  <c r="K14" i="43"/>
  <c r="I35" i="43"/>
  <c r="J13" i="43"/>
  <c r="K13" i="43"/>
  <c r="J16" i="43"/>
  <c r="K16" i="43"/>
  <c r="I20" i="43"/>
  <c r="J8" i="43"/>
  <c r="K8" i="43"/>
  <c r="I41" i="43"/>
  <c r="K42" i="43"/>
  <c r="J42" i="43"/>
  <c r="J11" i="43"/>
  <c r="K11" i="43"/>
  <c r="J17" i="43"/>
  <c r="K17" i="43"/>
  <c r="D67" i="42"/>
  <c r="D45" i="42"/>
  <c r="C43" i="43"/>
  <c r="S29" i="43"/>
  <c r="G43" i="43"/>
  <c r="D92" i="43"/>
  <c r="D67" i="43"/>
  <c r="C92" i="43"/>
  <c r="C67" i="43"/>
  <c r="D43" i="43"/>
  <c r="G92" i="43"/>
  <c r="G67" i="43"/>
  <c r="H92" i="43"/>
  <c r="H67" i="43"/>
  <c r="U49" i="43"/>
  <c r="D41" i="42" l="1"/>
  <c r="E64" i="42"/>
  <c r="E42" i="42"/>
  <c r="I57" i="43"/>
  <c r="K57" i="43" s="1"/>
  <c r="I55" i="43"/>
  <c r="J55" i="43" s="1"/>
  <c r="I62" i="43"/>
  <c r="J62" i="43" s="1"/>
  <c r="I65" i="43"/>
  <c r="K32" i="43"/>
  <c r="J32" i="43"/>
  <c r="I58" i="43"/>
  <c r="I60" i="43"/>
  <c r="K36" i="43"/>
  <c r="J36" i="43"/>
  <c r="D81" i="43"/>
  <c r="D78" i="43"/>
  <c r="D86" i="43"/>
  <c r="D79" i="43"/>
  <c r="D83" i="43"/>
  <c r="D80" i="43"/>
  <c r="D88" i="43"/>
  <c r="D85" i="43"/>
  <c r="D77" i="43"/>
  <c r="D82" i="43"/>
  <c r="D87" i="43"/>
  <c r="D84" i="43"/>
  <c r="I54" i="43"/>
  <c r="I56" i="43"/>
  <c r="U51" i="43"/>
  <c r="K34" i="43"/>
  <c r="J34" i="43"/>
  <c r="I64" i="43"/>
  <c r="U53" i="43"/>
  <c r="H85" i="43"/>
  <c r="H77" i="43"/>
  <c r="H82" i="43"/>
  <c r="H79" i="43"/>
  <c r="H87" i="43"/>
  <c r="H84" i="43"/>
  <c r="H81" i="43"/>
  <c r="H83" i="43"/>
  <c r="H78" i="43"/>
  <c r="H86" i="43"/>
  <c r="H80" i="43"/>
  <c r="H88" i="43"/>
  <c r="I63" i="43"/>
  <c r="K38" i="43"/>
  <c r="J38" i="43"/>
  <c r="K40" i="43"/>
  <c r="J40" i="43"/>
  <c r="C80" i="43"/>
  <c r="C88" i="43"/>
  <c r="C78" i="43"/>
  <c r="C81" i="43"/>
  <c r="C77" i="43"/>
  <c r="C82" i="43"/>
  <c r="C83" i="43"/>
  <c r="C84" i="43"/>
  <c r="C85" i="43"/>
  <c r="C79" i="43"/>
  <c r="C87" i="43"/>
  <c r="C86" i="43"/>
  <c r="I43" i="43"/>
  <c r="K31" i="43"/>
  <c r="J31" i="43"/>
  <c r="I59" i="43"/>
  <c r="U52" i="43"/>
  <c r="J33" i="43"/>
  <c r="K33" i="43"/>
  <c r="K37" i="43"/>
  <c r="J37" i="43"/>
  <c r="G82" i="43"/>
  <c r="G88" i="43"/>
  <c r="G79" i="43"/>
  <c r="G87" i="43"/>
  <c r="G77" i="43"/>
  <c r="G84" i="43"/>
  <c r="G81" i="43"/>
  <c r="G78" i="43"/>
  <c r="G86" i="43"/>
  <c r="G83" i="43"/>
  <c r="G85" i="43"/>
  <c r="G80" i="43"/>
  <c r="J41" i="43"/>
  <c r="K41" i="43"/>
  <c r="K35" i="43"/>
  <c r="J35" i="43"/>
  <c r="J20" i="43"/>
  <c r="K20" i="43"/>
  <c r="H66" i="43"/>
  <c r="K39" i="43"/>
  <c r="J39" i="43"/>
  <c r="I61" i="43"/>
  <c r="C114" i="43"/>
  <c r="C90" i="43"/>
  <c r="D114" i="43"/>
  <c r="D90" i="43"/>
  <c r="G66" i="43"/>
  <c r="C66" i="43"/>
  <c r="U50" i="43"/>
  <c r="D66" i="43"/>
  <c r="G114" i="43"/>
  <c r="G90" i="43"/>
  <c r="H114" i="43"/>
  <c r="H90" i="43"/>
  <c r="D43" i="42"/>
  <c r="D1" i="41"/>
  <c r="C1" i="41"/>
  <c r="C8" i="41" s="1"/>
  <c r="E1" i="41"/>
  <c r="C11" i="41" s="1"/>
  <c r="F7" i="25"/>
  <c r="F24" i="25"/>
  <c r="F23" i="25" s="1"/>
  <c r="K62" i="43" l="1"/>
  <c r="K55" i="43"/>
  <c r="J57" i="43"/>
  <c r="E31" i="42"/>
  <c r="E28" i="42"/>
  <c r="E32" i="42"/>
  <c r="E36" i="42"/>
  <c r="E35" i="42"/>
  <c r="E30" i="42"/>
  <c r="E34" i="42"/>
  <c r="E39" i="42"/>
  <c r="E38" i="42"/>
  <c r="E33" i="42"/>
  <c r="E37" i="42"/>
  <c r="E29" i="42"/>
  <c r="E59" i="42"/>
  <c r="E50" i="42"/>
  <c r="E56" i="42"/>
  <c r="E51" i="42"/>
  <c r="E52" i="42"/>
  <c r="E57" i="42"/>
  <c r="E60" i="42"/>
  <c r="E53" i="42"/>
  <c r="E61" i="42"/>
  <c r="E54" i="42"/>
  <c r="E55" i="42"/>
  <c r="E58" i="42"/>
  <c r="C9" i="41"/>
  <c r="C10" i="41"/>
  <c r="D42" i="42"/>
  <c r="I79" i="43"/>
  <c r="K79" i="43" s="1"/>
  <c r="I85" i="43"/>
  <c r="J85" i="43" s="1"/>
  <c r="I87" i="43"/>
  <c r="K87" i="43" s="1"/>
  <c r="I88" i="43"/>
  <c r="J88" i="43" s="1"/>
  <c r="K64" i="43"/>
  <c r="J64" i="43"/>
  <c r="K61" i="43"/>
  <c r="J61" i="43"/>
  <c r="H112" i="43"/>
  <c r="H103" i="43"/>
  <c r="H99" i="43"/>
  <c r="H104" i="43"/>
  <c r="H105" i="43"/>
  <c r="H106" i="43"/>
  <c r="H109" i="43"/>
  <c r="H107" i="43"/>
  <c r="H100" i="43"/>
  <c r="H108" i="43"/>
  <c r="H102" i="43"/>
  <c r="H110" i="43"/>
  <c r="H101" i="43"/>
  <c r="D112" i="43"/>
  <c r="D102" i="43"/>
  <c r="D110" i="43"/>
  <c r="D103" i="43"/>
  <c r="D99" i="43"/>
  <c r="D104" i="43"/>
  <c r="D105" i="43"/>
  <c r="D100" i="43"/>
  <c r="D106" i="43"/>
  <c r="D108" i="43"/>
  <c r="D107" i="43"/>
  <c r="D101" i="43"/>
  <c r="D109" i="43"/>
  <c r="I80" i="43"/>
  <c r="I84" i="43"/>
  <c r="K60" i="43"/>
  <c r="J60" i="43"/>
  <c r="G112" i="43"/>
  <c r="G107" i="43"/>
  <c r="G100" i="43"/>
  <c r="G108" i="43"/>
  <c r="G101" i="43"/>
  <c r="G109" i="43"/>
  <c r="G102" i="43"/>
  <c r="G110" i="43"/>
  <c r="G103" i="43"/>
  <c r="G99" i="43"/>
  <c r="G105" i="43"/>
  <c r="G104" i="43"/>
  <c r="G106" i="43"/>
  <c r="C112" i="43"/>
  <c r="C106" i="43"/>
  <c r="C107" i="43"/>
  <c r="C104" i="43"/>
  <c r="C100" i="43"/>
  <c r="C108" i="43"/>
  <c r="C101" i="43"/>
  <c r="C109" i="43"/>
  <c r="C102" i="43"/>
  <c r="C110" i="43"/>
  <c r="C103" i="43"/>
  <c r="C99" i="43"/>
  <c r="C105" i="43"/>
  <c r="I83" i="43"/>
  <c r="J58" i="43"/>
  <c r="K58" i="43"/>
  <c r="I82" i="43"/>
  <c r="K56" i="43"/>
  <c r="J56" i="43"/>
  <c r="J43" i="43"/>
  <c r="K65" i="43"/>
  <c r="J65" i="43"/>
  <c r="I78" i="43"/>
  <c r="I77" i="43"/>
  <c r="H89" i="43"/>
  <c r="I66" i="43"/>
  <c r="K54" i="43"/>
  <c r="J54" i="43"/>
  <c r="P19" i="22"/>
  <c r="K43" i="43"/>
  <c r="J59" i="43"/>
  <c r="K59" i="43"/>
  <c r="I86" i="43"/>
  <c r="I81" i="43"/>
  <c r="J63" i="43"/>
  <c r="K63" i="43"/>
  <c r="G89" i="43"/>
  <c r="C89" i="43"/>
  <c r="D89" i="43"/>
  <c r="D65" i="42"/>
  <c r="D27" i="19"/>
  <c r="D28" i="36" s="1"/>
  <c r="D27" i="37" s="1"/>
  <c r="E27" i="19"/>
  <c r="E28" i="36" s="1"/>
  <c r="E27" i="37" s="1"/>
  <c r="F27" i="19"/>
  <c r="F28" i="36" s="1"/>
  <c r="F27" i="37" s="1"/>
  <c r="G27" i="19"/>
  <c r="G28" i="36" s="1"/>
  <c r="G27" i="37" s="1"/>
  <c r="H27" i="19"/>
  <c r="H28" i="36" s="1"/>
  <c r="H27" i="37" s="1"/>
  <c r="I27" i="19"/>
  <c r="I28" i="36" s="1"/>
  <c r="I27" i="37" s="1"/>
  <c r="J27" i="19"/>
  <c r="J28" i="36" s="1"/>
  <c r="J27" i="37" s="1"/>
  <c r="K27" i="19"/>
  <c r="K28" i="36" s="1"/>
  <c r="K27" i="37" s="1"/>
  <c r="L27" i="19"/>
  <c r="L28" i="36" s="1"/>
  <c r="L27" i="37" s="1"/>
  <c r="M27" i="19"/>
  <c r="M28" i="36" s="1"/>
  <c r="M27" i="37" s="1"/>
  <c r="N27" i="19"/>
  <c r="N28" i="36" s="1"/>
  <c r="N27" i="37" s="1"/>
  <c r="C27" i="19"/>
  <c r="C28" i="36" s="1"/>
  <c r="C27" i="37" s="1"/>
  <c r="N30" i="19"/>
  <c r="N31" i="36" s="1"/>
  <c r="N30" i="37" s="1"/>
  <c r="N9" i="36"/>
  <c r="N9" i="37" s="1"/>
  <c r="D12" i="36"/>
  <c r="D12" i="37" s="1"/>
  <c r="L12" i="36"/>
  <c r="L12" i="37" s="1"/>
  <c r="C12" i="36"/>
  <c r="C12" i="37" s="1"/>
  <c r="C13" i="36"/>
  <c r="C13" i="37" s="1"/>
  <c r="D29" i="19"/>
  <c r="D30" i="36" s="1"/>
  <c r="D29" i="37" s="1"/>
  <c r="E29" i="19"/>
  <c r="E30" i="36" s="1"/>
  <c r="E29" i="37" s="1"/>
  <c r="F29" i="19"/>
  <c r="F30" i="36" s="1"/>
  <c r="F29" i="37" s="1"/>
  <c r="G29" i="19"/>
  <c r="G30" i="36" s="1"/>
  <c r="G29" i="37" s="1"/>
  <c r="H29" i="19"/>
  <c r="H30" i="36" s="1"/>
  <c r="H29" i="37" s="1"/>
  <c r="I29" i="19"/>
  <c r="I30" i="36" s="1"/>
  <c r="I29" i="37" s="1"/>
  <c r="J29" i="19"/>
  <c r="J30" i="36" s="1"/>
  <c r="J29" i="37" s="1"/>
  <c r="K29" i="19"/>
  <c r="K30" i="36" s="1"/>
  <c r="K29" i="37" s="1"/>
  <c r="L29" i="19"/>
  <c r="L30" i="36" s="1"/>
  <c r="L29" i="37" s="1"/>
  <c r="M29" i="19"/>
  <c r="M30" i="36" s="1"/>
  <c r="M29" i="37" s="1"/>
  <c r="N29" i="19"/>
  <c r="N30" i="36" s="1"/>
  <c r="N29" i="37" s="1"/>
  <c r="D30" i="19"/>
  <c r="D31" i="36" s="1"/>
  <c r="D30" i="37" s="1"/>
  <c r="E30" i="19"/>
  <c r="E31" i="36" s="1"/>
  <c r="E30" i="37" s="1"/>
  <c r="F30" i="19"/>
  <c r="F31" i="36" s="1"/>
  <c r="F30" i="37" s="1"/>
  <c r="G30" i="19"/>
  <c r="G31" i="36" s="1"/>
  <c r="G30" i="37" s="1"/>
  <c r="H30" i="19"/>
  <c r="H31" i="36" s="1"/>
  <c r="H30" i="37" s="1"/>
  <c r="I30" i="19"/>
  <c r="I31" i="36" s="1"/>
  <c r="I30" i="37" s="1"/>
  <c r="J30" i="19"/>
  <c r="J31" i="36" s="1"/>
  <c r="J30" i="37" s="1"/>
  <c r="K30" i="19"/>
  <c r="K31" i="36" s="1"/>
  <c r="K30" i="37" s="1"/>
  <c r="L30" i="19"/>
  <c r="L31" i="36" s="1"/>
  <c r="L30" i="37" s="1"/>
  <c r="M30" i="19"/>
  <c r="M31" i="36" s="1"/>
  <c r="M30" i="37" s="1"/>
  <c r="C30" i="19"/>
  <c r="C31" i="36" s="1"/>
  <c r="C30" i="37" s="1"/>
  <c r="C29" i="19"/>
  <c r="C30" i="36" s="1"/>
  <c r="C29" i="37" s="1"/>
  <c r="D9" i="36"/>
  <c r="D9" i="37" s="1"/>
  <c r="E9" i="36"/>
  <c r="E9" i="37" s="1"/>
  <c r="F9" i="36"/>
  <c r="F9" i="37" s="1"/>
  <c r="G9" i="36"/>
  <c r="G9" i="37" s="1"/>
  <c r="H9" i="36"/>
  <c r="H9" i="37" s="1"/>
  <c r="I9" i="36"/>
  <c r="I9" i="37" s="1"/>
  <c r="J9" i="36"/>
  <c r="J9" i="37" s="1"/>
  <c r="K9" i="36"/>
  <c r="K9" i="37" s="1"/>
  <c r="L9" i="36"/>
  <c r="L9" i="37" s="1"/>
  <c r="M9" i="36"/>
  <c r="M9" i="37" s="1"/>
  <c r="D10" i="36"/>
  <c r="D10" i="37" s="1"/>
  <c r="E10" i="36"/>
  <c r="E10" i="37" s="1"/>
  <c r="F10" i="36"/>
  <c r="F10" i="37" s="1"/>
  <c r="G10" i="36"/>
  <c r="G10" i="37" s="1"/>
  <c r="H10" i="36"/>
  <c r="H10" i="37" s="1"/>
  <c r="I10" i="36"/>
  <c r="I10" i="37" s="1"/>
  <c r="J10" i="36"/>
  <c r="J10" i="37" s="1"/>
  <c r="K10" i="36"/>
  <c r="K10" i="37" s="1"/>
  <c r="L10" i="36"/>
  <c r="L10" i="37" s="1"/>
  <c r="M10" i="36"/>
  <c r="M10" i="37" s="1"/>
  <c r="N10" i="36"/>
  <c r="N10" i="37" s="1"/>
  <c r="D11" i="36"/>
  <c r="D11" i="37" s="1"/>
  <c r="E11" i="36"/>
  <c r="E11" i="37" s="1"/>
  <c r="F11" i="36"/>
  <c r="F11" i="37" s="1"/>
  <c r="G11" i="36"/>
  <c r="G11" i="37" s="1"/>
  <c r="H11" i="36"/>
  <c r="H11" i="37" s="1"/>
  <c r="I11" i="36"/>
  <c r="I11" i="37" s="1"/>
  <c r="J11" i="36"/>
  <c r="J11" i="37" s="1"/>
  <c r="K11" i="36"/>
  <c r="K11" i="37" s="1"/>
  <c r="L11" i="36"/>
  <c r="L11" i="37" s="1"/>
  <c r="M11" i="36"/>
  <c r="M11" i="37" s="1"/>
  <c r="N11" i="36"/>
  <c r="N11" i="37" s="1"/>
  <c r="E12" i="36"/>
  <c r="E12" i="37" s="1"/>
  <c r="F12" i="36"/>
  <c r="F12" i="37" s="1"/>
  <c r="G12" i="36"/>
  <c r="G12" i="37" s="1"/>
  <c r="H12" i="36"/>
  <c r="H12" i="37" s="1"/>
  <c r="I12" i="36"/>
  <c r="I12" i="37" s="1"/>
  <c r="J12" i="36"/>
  <c r="J12" i="37" s="1"/>
  <c r="K12" i="36"/>
  <c r="K12" i="37" s="1"/>
  <c r="M12" i="36"/>
  <c r="M12" i="37" s="1"/>
  <c r="N12" i="36"/>
  <c r="N12" i="37" s="1"/>
  <c r="D13" i="36"/>
  <c r="D13" i="37" s="1"/>
  <c r="E13" i="36"/>
  <c r="E13" i="37" s="1"/>
  <c r="F13" i="36"/>
  <c r="F13" i="37" s="1"/>
  <c r="G13" i="36"/>
  <c r="G13" i="37" s="1"/>
  <c r="H13" i="36"/>
  <c r="H13" i="37" s="1"/>
  <c r="I13" i="36"/>
  <c r="I13" i="37" s="1"/>
  <c r="J13" i="36"/>
  <c r="J13" i="37" s="1"/>
  <c r="K13" i="36"/>
  <c r="K13" i="37" s="1"/>
  <c r="L13" i="36"/>
  <c r="L13" i="37" s="1"/>
  <c r="M13" i="36"/>
  <c r="M13" i="37" s="1"/>
  <c r="N13" i="36"/>
  <c r="N13" i="37" s="1"/>
  <c r="C10" i="36"/>
  <c r="C10" i="37" s="1"/>
  <c r="C11" i="36"/>
  <c r="C11" i="37" s="1"/>
  <c r="C9" i="36"/>
  <c r="C9" i="37" s="1"/>
  <c r="N11" i="38"/>
  <c r="N12" i="38"/>
  <c r="N14" i="38"/>
  <c r="N16" i="38"/>
  <c r="N18" i="38"/>
  <c r="N20" i="38"/>
  <c r="K85" i="43" l="1"/>
  <c r="D64" i="42"/>
  <c r="D63" i="42"/>
  <c r="K88" i="43"/>
  <c r="B1" i="41"/>
  <c r="D35" i="42"/>
  <c r="D30" i="42"/>
  <c r="D31" i="42"/>
  <c r="D39" i="42"/>
  <c r="D36" i="42"/>
  <c r="D32" i="42"/>
  <c r="D29" i="42"/>
  <c r="D28" i="42"/>
  <c r="D37" i="42"/>
  <c r="D38" i="42"/>
  <c r="D34" i="42"/>
  <c r="D33" i="42"/>
  <c r="I110" i="43"/>
  <c r="K110" i="43" s="1"/>
  <c r="J79" i="43"/>
  <c r="J66" i="43"/>
  <c r="G111" i="43"/>
  <c r="J87" i="43"/>
  <c r="I99" i="43"/>
  <c r="K99" i="43" s="1"/>
  <c r="D111" i="43"/>
  <c r="I109" i="43"/>
  <c r="J109" i="43" s="1"/>
  <c r="I108" i="43"/>
  <c r="K108" i="43" s="1"/>
  <c r="I103" i="43"/>
  <c r="K103" i="43" s="1"/>
  <c r="I107" i="43"/>
  <c r="K107" i="43" s="1"/>
  <c r="K86" i="43"/>
  <c r="J86" i="43"/>
  <c r="K78" i="43"/>
  <c r="J78" i="43"/>
  <c r="I101" i="43"/>
  <c r="E15" i="22"/>
  <c r="E7" i="22" s="1"/>
  <c r="J80" i="43"/>
  <c r="K80" i="43"/>
  <c r="H111" i="43"/>
  <c r="J81" i="43"/>
  <c r="K81" i="43"/>
  <c r="C111" i="43"/>
  <c r="F15" i="22"/>
  <c r="F7" i="22" s="1"/>
  <c r="I105" i="43"/>
  <c r="I100" i="43"/>
  <c r="J84" i="43"/>
  <c r="K84" i="43"/>
  <c r="K66" i="43"/>
  <c r="D15" i="22"/>
  <c r="D7" i="22" s="1"/>
  <c r="G15" i="22"/>
  <c r="G7" i="22" s="1"/>
  <c r="I104" i="43"/>
  <c r="K15" i="22"/>
  <c r="K7" i="22" s="1"/>
  <c r="I89" i="43"/>
  <c r="J77" i="43"/>
  <c r="K77" i="43"/>
  <c r="K82" i="43"/>
  <c r="J82" i="43"/>
  <c r="I106" i="43"/>
  <c r="J15" i="22"/>
  <c r="J7" i="22" s="1"/>
  <c r="K83" i="43"/>
  <c r="J83" i="43"/>
  <c r="I102" i="43"/>
  <c r="D8" i="25"/>
  <c r="C14" i="37"/>
  <c r="D22" i="37"/>
  <c r="E22" i="37"/>
  <c r="F22" i="37"/>
  <c r="G22" i="37"/>
  <c r="H22" i="37"/>
  <c r="I22" i="37"/>
  <c r="J22" i="37"/>
  <c r="K22" i="37"/>
  <c r="L22" i="37"/>
  <c r="M22" i="37"/>
  <c r="N22" i="37"/>
  <c r="C22" i="37"/>
  <c r="D22" i="36"/>
  <c r="E22" i="36"/>
  <c r="F22" i="36"/>
  <c r="G22" i="36"/>
  <c r="H22" i="36"/>
  <c r="I22" i="36"/>
  <c r="J22" i="36"/>
  <c r="K22" i="36"/>
  <c r="L22" i="36"/>
  <c r="M22" i="36"/>
  <c r="N22" i="36"/>
  <c r="C22" i="36"/>
  <c r="A32" i="37"/>
  <c r="P31" i="37"/>
  <c r="A31" i="37"/>
  <c r="P30" i="37"/>
  <c r="A30" i="37"/>
  <c r="A29" i="37"/>
  <c r="P27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P25" i="37"/>
  <c r="A25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P16" i="37"/>
  <c r="A14" i="37"/>
  <c r="L8" i="37"/>
  <c r="K8" i="37"/>
  <c r="I8" i="37"/>
  <c r="G8" i="37"/>
  <c r="D8" i="37"/>
  <c r="A13" i="37"/>
  <c r="P12" i="37"/>
  <c r="A12" i="37"/>
  <c r="P11" i="37"/>
  <c r="A11" i="37"/>
  <c r="N8" i="37"/>
  <c r="A10" i="37"/>
  <c r="P9" i="37"/>
  <c r="A9" i="37"/>
  <c r="M8" i="37"/>
  <c r="J8" i="37"/>
  <c r="H8" i="37"/>
  <c r="F8" i="37"/>
  <c r="E8" i="37"/>
  <c r="A33" i="36"/>
  <c r="P32" i="36"/>
  <c r="A32" i="36"/>
  <c r="P31" i="36"/>
  <c r="A31" i="36"/>
  <c r="A30" i="36"/>
  <c r="P28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P26" i="36"/>
  <c r="A26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P16" i="36"/>
  <c r="A14" i="36"/>
  <c r="K8" i="36"/>
  <c r="J8" i="36"/>
  <c r="I8" i="36"/>
  <c r="G8" i="36"/>
  <c r="A13" i="36"/>
  <c r="P12" i="36"/>
  <c r="A12" i="36"/>
  <c r="P11" i="36"/>
  <c r="A11" i="36"/>
  <c r="P10" i="36"/>
  <c r="A10" i="36"/>
  <c r="P9" i="36"/>
  <c r="A9" i="36"/>
  <c r="N8" i="36"/>
  <c r="M8" i="36"/>
  <c r="L8" i="36"/>
  <c r="H8" i="36"/>
  <c r="F8" i="36"/>
  <c r="E8" i="36"/>
  <c r="D8" i="36"/>
  <c r="D40" i="42" l="1"/>
  <c r="J110" i="43"/>
  <c r="J99" i="43"/>
  <c r="P22" i="36"/>
  <c r="D59" i="42"/>
  <c r="D54" i="42"/>
  <c r="D52" i="42"/>
  <c r="D53" i="42"/>
  <c r="D50" i="42"/>
  <c r="D60" i="42"/>
  <c r="D55" i="42"/>
  <c r="D56" i="42"/>
  <c r="D61" i="42"/>
  <c r="D51" i="42"/>
  <c r="D57" i="42"/>
  <c r="D58" i="42"/>
  <c r="J103" i="43"/>
  <c r="D7" i="25"/>
  <c r="I8" i="25"/>
  <c r="C6" i="41"/>
  <c r="C7" i="41"/>
  <c r="J107" i="43"/>
  <c r="K109" i="43"/>
  <c r="J108" i="43"/>
  <c r="K89" i="43"/>
  <c r="J89" i="43"/>
  <c r="I111" i="43"/>
  <c r="H15" i="22"/>
  <c r="H7" i="22" s="1"/>
  <c r="P18" i="22"/>
  <c r="K101" i="43"/>
  <c r="J101" i="43"/>
  <c r="J104" i="43"/>
  <c r="K104" i="43"/>
  <c r="K102" i="43"/>
  <c r="J102" i="43"/>
  <c r="I15" i="22"/>
  <c r="I7" i="22" s="1"/>
  <c r="J100" i="43"/>
  <c r="K100" i="43"/>
  <c r="P17" i="22"/>
  <c r="C15" i="22"/>
  <c r="J106" i="43"/>
  <c r="K106" i="43"/>
  <c r="K105" i="43"/>
  <c r="J105" i="43"/>
  <c r="L15" i="22"/>
  <c r="L7" i="22" s="1"/>
  <c r="N15" i="22"/>
  <c r="N7" i="22" s="1"/>
  <c r="M15" i="22"/>
  <c r="M7" i="22" s="1"/>
  <c r="P22" i="37"/>
  <c r="P26" i="37"/>
  <c r="C8" i="37"/>
  <c r="P8" i="37" s="1"/>
  <c r="P14" i="37"/>
  <c r="C14" i="36"/>
  <c r="P24" i="37"/>
  <c r="P27" i="36"/>
  <c r="P25" i="36"/>
  <c r="P10" i="37"/>
  <c r="P13" i="37"/>
  <c r="P13" i="36"/>
  <c r="D62" i="42" l="1"/>
  <c r="C12" i="41"/>
  <c r="J111" i="43"/>
  <c r="K111" i="43"/>
  <c r="P15" i="22"/>
  <c r="C7" i="22"/>
  <c r="P7" i="22" s="1"/>
  <c r="P29" i="37"/>
  <c r="C8" i="36"/>
  <c r="P14" i="36"/>
  <c r="P30" i="36"/>
  <c r="P8" i="36" l="1"/>
  <c r="F12" i="35" l="1"/>
  <c r="F14" i="35" s="1"/>
  <c r="B17" i="35"/>
  <c r="D5" i="34" l="1"/>
  <c r="D3" i="34"/>
  <c r="D4" i="34"/>
  <c r="D2" i="34"/>
  <c r="D6" i="34" l="1"/>
  <c r="G6" i="34" s="1"/>
  <c r="K14" i="25" l="1"/>
  <c r="K15" i="25" l="1"/>
  <c r="K11" i="25"/>
  <c r="K12" i="25"/>
  <c r="K17" i="25"/>
  <c r="K13" i="25"/>
  <c r="D17" i="10"/>
  <c r="E32" i="19" l="1"/>
  <c r="P32" i="19" s="1"/>
  <c r="P17" i="10"/>
  <c r="P16" i="10" l="1"/>
  <c r="C33" i="36"/>
  <c r="C29" i="36" s="1"/>
  <c r="C32" i="37"/>
  <c r="C28" i="37" s="1"/>
  <c r="D33" i="36" l="1"/>
  <c r="E33" i="36" s="1"/>
  <c r="D32" i="37"/>
  <c r="E32" i="37" s="1"/>
  <c r="D29" i="36" l="1"/>
  <c r="F33" i="36"/>
  <c r="E29" i="36"/>
  <c r="D28" i="37"/>
  <c r="F32" i="37"/>
  <c r="E28" i="37"/>
  <c r="G33" i="36" l="1"/>
  <c r="F29" i="36"/>
  <c r="F28" i="37"/>
  <c r="G32" i="37"/>
  <c r="H33" i="36" l="1"/>
  <c r="G29" i="36"/>
  <c r="H32" i="37"/>
  <c r="G28" i="37"/>
  <c r="I33" i="36" l="1"/>
  <c r="H29" i="36"/>
  <c r="I32" i="37"/>
  <c r="H28" i="37"/>
  <c r="B40" i="28"/>
  <c r="B39" i="28"/>
  <c r="B36" i="28"/>
  <c r="B33" i="28"/>
  <c r="B32" i="28"/>
  <c r="B22" i="28"/>
  <c r="X11" i="28"/>
  <c r="S11" i="28"/>
  <c r="B10" i="28"/>
  <c r="B9" i="28"/>
  <c r="AC3" i="28"/>
  <c r="X3" i="28"/>
  <c r="S3" i="28"/>
  <c r="O11" i="26"/>
  <c r="B5" i="26"/>
  <c r="X2" i="26" s="1"/>
  <c r="S3" i="26"/>
  <c r="AB3" i="26"/>
  <c r="W3" i="26"/>
  <c r="R3" i="26"/>
  <c r="M3" i="26"/>
  <c r="H3" i="26"/>
  <c r="B3" i="26"/>
  <c r="AC2" i="26"/>
  <c r="S2" i="26"/>
  <c r="N2" i="26"/>
  <c r="F55" i="25"/>
  <c r="D55" i="25"/>
  <c r="D54" i="25"/>
  <c r="D53" i="25"/>
  <c r="D52" i="25"/>
  <c r="F51" i="25"/>
  <c r="F50" i="25" s="1"/>
  <c r="D51" i="25"/>
  <c r="F48" i="25"/>
  <c r="F47" i="25"/>
  <c r="F46" i="25"/>
  <c r="F45" i="25"/>
  <c r="F44" i="25"/>
  <c r="F43" i="25"/>
  <c r="F42" i="25"/>
  <c r="F41" i="25"/>
  <c r="F40" i="25"/>
  <c r="D40" i="25"/>
  <c r="F39" i="25"/>
  <c r="D39" i="25"/>
  <c r="F38" i="25"/>
  <c r="D38" i="25"/>
  <c r="F37" i="25"/>
  <c r="J33" i="36" l="1"/>
  <c r="I29" i="36"/>
  <c r="I28" i="37"/>
  <c r="J32" i="37"/>
  <c r="D50" i="25"/>
  <c r="D49" i="25" s="1"/>
  <c r="D36" i="25"/>
  <c r="F36" i="25"/>
  <c r="K33" i="36" l="1"/>
  <c r="J29" i="36"/>
  <c r="J28" i="37"/>
  <c r="K32" i="37"/>
  <c r="D57" i="25"/>
  <c r="L33" i="36" l="1"/>
  <c r="K29" i="36"/>
  <c r="L32" i="37"/>
  <c r="K28" i="37"/>
  <c r="M33" i="36" l="1"/>
  <c r="L29" i="36"/>
  <c r="M32" i="37"/>
  <c r="L28" i="37"/>
  <c r="F26" i="19"/>
  <c r="E26" i="19"/>
  <c r="D26" i="19"/>
  <c r="C26" i="19"/>
  <c r="N26" i="19"/>
  <c r="M26" i="19"/>
  <c r="L26" i="19"/>
  <c r="K26" i="19"/>
  <c r="J26" i="19"/>
  <c r="I26" i="19"/>
  <c r="H26" i="19"/>
  <c r="G26" i="19"/>
  <c r="P16" i="19"/>
  <c r="N33" i="36" l="1"/>
  <c r="N29" i="36" s="1"/>
  <c r="M29" i="36"/>
  <c r="F19" i="28"/>
  <c r="N32" i="37"/>
  <c r="M28" i="37"/>
  <c r="P9" i="19"/>
  <c r="P10" i="19"/>
  <c r="P11" i="19"/>
  <c r="P14" i="19"/>
  <c r="P29" i="19"/>
  <c r="P12" i="19"/>
  <c r="P26" i="19"/>
  <c r="P27" i="19"/>
  <c r="P30" i="19"/>
  <c r="E10" i="21"/>
  <c r="F10" i="21" s="1"/>
  <c r="E9" i="21"/>
  <c r="F9" i="21" s="1"/>
  <c r="P33" i="36" l="1"/>
  <c r="P29" i="36"/>
  <c r="J8" i="28"/>
  <c r="I36" i="28"/>
  <c r="F36" i="28"/>
  <c r="N12" i="28" s="1"/>
  <c r="F33" i="28"/>
  <c r="F32" i="28"/>
  <c r="N28" i="37"/>
  <c r="P32" i="37"/>
  <c r="F26" i="28"/>
  <c r="F27" i="28"/>
  <c r="E24" i="19"/>
  <c r="G24" i="19"/>
  <c r="I24" i="19"/>
  <c r="K24" i="19"/>
  <c r="C24" i="19"/>
  <c r="D80" i="20"/>
  <c r="E80" i="20" s="1"/>
  <c r="D74" i="20"/>
  <c r="E74" i="20" s="1"/>
  <c r="B68" i="20"/>
  <c r="C59" i="20"/>
  <c r="C58" i="20"/>
  <c r="B58" i="20"/>
  <c r="B59" i="20" s="1"/>
  <c r="C57" i="20"/>
  <c r="C56" i="20"/>
  <c r="C55" i="20"/>
  <c r="C54" i="20"/>
  <c r="C51" i="20"/>
  <c r="C48" i="20"/>
  <c r="C47" i="20"/>
  <c r="B47" i="20"/>
  <c r="B48" i="20" s="1"/>
  <c r="C46" i="20"/>
  <c r="C45" i="20"/>
  <c r="C44" i="20"/>
  <c r="C43" i="20"/>
  <c r="C42" i="20"/>
  <c r="C41" i="20"/>
  <c r="C36" i="20"/>
  <c r="C35" i="20"/>
  <c r="B35" i="20"/>
  <c r="B36" i="20" s="1"/>
  <c r="C34" i="20"/>
  <c r="C33" i="20"/>
  <c r="C32" i="20"/>
  <c r="C31" i="20"/>
  <c r="C30" i="20"/>
  <c r="C29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G1" i="20"/>
  <c r="F46" i="20" l="1"/>
  <c r="I46" i="20" s="1"/>
  <c r="E68" i="20"/>
  <c r="E6" i="21" s="1"/>
  <c r="G6" i="21" s="1"/>
  <c r="J13" i="28"/>
  <c r="F31" i="20"/>
  <c r="H31" i="20" s="1"/>
  <c r="F55" i="20"/>
  <c r="G55" i="20" s="1"/>
  <c r="F34" i="20"/>
  <c r="G34" i="20" s="1"/>
  <c r="F45" i="20"/>
  <c r="H45" i="20" s="1"/>
  <c r="F15" i="20"/>
  <c r="F23" i="20"/>
  <c r="G23" i="20" s="1"/>
  <c r="H29" i="4"/>
  <c r="F13" i="20"/>
  <c r="G13" i="20" s="1"/>
  <c r="F21" i="20"/>
  <c r="H21" i="20" s="1"/>
  <c r="F32" i="20"/>
  <c r="G32" i="20" s="1"/>
  <c r="F43" i="20"/>
  <c r="E43" i="20" s="1"/>
  <c r="F44" i="20"/>
  <c r="E44" i="20" s="1"/>
  <c r="F54" i="20"/>
  <c r="F56" i="20"/>
  <c r="H46" i="20"/>
  <c r="G46" i="20"/>
  <c r="F17" i="20"/>
  <c r="E17" i="20" s="1"/>
  <c r="F57" i="20"/>
  <c r="F11" i="20"/>
  <c r="E11" i="20" s="1"/>
  <c r="F19" i="20"/>
  <c r="E19" i="20" s="1"/>
  <c r="F30" i="20"/>
  <c r="G30" i="20" s="1"/>
  <c r="F41" i="20"/>
  <c r="G41" i="20" s="1"/>
  <c r="M24" i="19"/>
  <c r="N24" i="19"/>
  <c r="L24" i="19"/>
  <c r="J24" i="19"/>
  <c r="H24" i="19"/>
  <c r="F24" i="19"/>
  <c r="D24" i="19"/>
  <c r="J11" i="28"/>
  <c r="P28" i="37"/>
  <c r="I39" i="28"/>
  <c r="B8" i="45"/>
  <c r="E2" i="38"/>
  <c r="L2" i="38"/>
  <c r="D2" i="38"/>
  <c r="K2" i="38"/>
  <c r="C2" i="38"/>
  <c r="J2" i="38"/>
  <c r="I2" i="38"/>
  <c r="H2" i="38"/>
  <c r="G2" i="38"/>
  <c r="B2" i="38"/>
  <c r="F2" i="38"/>
  <c r="M2" i="38"/>
  <c r="H23" i="20"/>
  <c r="G57" i="20"/>
  <c r="E57" i="20"/>
  <c r="G54" i="20"/>
  <c r="E54" i="20"/>
  <c r="G15" i="20"/>
  <c r="E15" i="20"/>
  <c r="H15" i="20"/>
  <c r="G31" i="20"/>
  <c r="G19" i="20"/>
  <c r="F12" i="20"/>
  <c r="F16" i="20"/>
  <c r="F20" i="20"/>
  <c r="F10" i="20"/>
  <c r="F14" i="20"/>
  <c r="F18" i="20"/>
  <c r="F22" i="20"/>
  <c r="F29" i="20"/>
  <c r="F33" i="20"/>
  <c r="F42" i="20"/>
  <c r="E31" i="20" l="1"/>
  <c r="E20" i="42" s="1"/>
  <c r="H11" i="20"/>
  <c r="G11" i="20"/>
  <c r="E55" i="20"/>
  <c r="H19" i="20"/>
  <c r="I19" i="20" s="1"/>
  <c r="E34" i="20"/>
  <c r="E46" i="20"/>
  <c r="F6" i="21"/>
  <c r="E32" i="20"/>
  <c r="E23" i="20"/>
  <c r="I34" i="20"/>
  <c r="D11" i="41" s="1"/>
  <c r="E11" i="41" s="1"/>
  <c r="E41" i="20"/>
  <c r="H34" i="20"/>
  <c r="E30" i="20"/>
  <c r="D20" i="42" s="1"/>
  <c r="I31" i="20"/>
  <c r="D8" i="41" s="1"/>
  <c r="E8" i="41" s="1"/>
  <c r="H6" i="29"/>
  <c r="E21" i="20"/>
  <c r="H13" i="20"/>
  <c r="I13" i="20" s="1"/>
  <c r="I55" i="20"/>
  <c r="E13" i="20"/>
  <c r="E19" i="42"/>
  <c r="E18" i="42" s="1"/>
  <c r="E16" i="42" s="1"/>
  <c r="E45" i="20"/>
  <c r="G17" i="20"/>
  <c r="H55" i="20"/>
  <c r="D24" i="25"/>
  <c r="I24" i="25" s="1"/>
  <c r="B7" i="45"/>
  <c r="I23" i="20"/>
  <c r="H17" i="20"/>
  <c r="G45" i="20"/>
  <c r="I45" i="20"/>
  <c r="H6" i="21"/>
  <c r="F68" i="20"/>
  <c r="G68" i="20"/>
  <c r="D5" i="26"/>
  <c r="I15" i="20"/>
  <c r="D25" i="25"/>
  <c r="I25" i="25" s="1"/>
  <c r="H43" i="20"/>
  <c r="I43" i="20"/>
  <c r="G43" i="20"/>
  <c r="H41" i="20"/>
  <c r="I41" i="20"/>
  <c r="H32" i="20"/>
  <c r="I32" i="20"/>
  <c r="D9" i="41" s="1"/>
  <c r="E9" i="41" s="1"/>
  <c r="G21" i="20"/>
  <c r="I21" i="20" s="1"/>
  <c r="H54" i="20"/>
  <c r="I54" i="20"/>
  <c r="H56" i="20"/>
  <c r="I56" i="20"/>
  <c r="H29" i="20"/>
  <c r="I29" i="20"/>
  <c r="D6" i="41" s="1"/>
  <c r="H44" i="20"/>
  <c r="I44" i="20"/>
  <c r="G44" i="20"/>
  <c r="I11" i="20"/>
  <c r="E56" i="20"/>
  <c r="E58" i="20" s="1"/>
  <c r="E59" i="20" s="1"/>
  <c r="H57" i="20"/>
  <c r="I57" i="20"/>
  <c r="F47" i="20"/>
  <c r="F48" i="20" s="1"/>
  <c r="E4" i="21" s="1"/>
  <c r="H42" i="20"/>
  <c r="I42" i="20"/>
  <c r="G42" i="20"/>
  <c r="F58" i="20"/>
  <c r="F59" i="20" s="1"/>
  <c r="E5" i="21" s="1"/>
  <c r="G5" i="21" s="1"/>
  <c r="G56" i="20"/>
  <c r="G58" i="20" s="1"/>
  <c r="G59" i="20" s="1"/>
  <c r="H30" i="20"/>
  <c r="D19" i="42" s="1"/>
  <c r="I30" i="20"/>
  <c r="D7" i="41" s="1"/>
  <c r="E7" i="41" s="1"/>
  <c r="H33" i="20"/>
  <c r="I33" i="20"/>
  <c r="D10" i="41" s="1"/>
  <c r="E10" i="41" s="1"/>
  <c r="D6" i="26"/>
  <c r="AC3" i="26" s="1"/>
  <c r="P25" i="19"/>
  <c r="N2" i="38"/>
  <c r="P24" i="19"/>
  <c r="B9" i="31"/>
  <c r="I5" i="30"/>
  <c r="I4" i="30"/>
  <c r="B12" i="31"/>
  <c r="L4" i="30"/>
  <c r="L5" i="30"/>
  <c r="B5" i="31"/>
  <c r="E4" i="30"/>
  <c r="E5" i="30"/>
  <c r="B10" i="31"/>
  <c r="J4" i="30"/>
  <c r="J5" i="30"/>
  <c r="B13" i="31"/>
  <c r="M5" i="30"/>
  <c r="M4" i="30"/>
  <c r="B14" i="31"/>
  <c r="N5" i="30"/>
  <c r="N4" i="30"/>
  <c r="B6" i="31"/>
  <c r="F5" i="30"/>
  <c r="F4" i="30"/>
  <c r="B7" i="31"/>
  <c r="G5" i="30"/>
  <c r="G4" i="30"/>
  <c r="B3" i="31"/>
  <c r="C4" i="30"/>
  <c r="C5" i="30"/>
  <c r="B11" i="31"/>
  <c r="K4" i="30"/>
  <c r="K5" i="30"/>
  <c r="B8" i="31"/>
  <c r="H5" i="30"/>
  <c r="H4" i="30"/>
  <c r="B4" i="31"/>
  <c r="D5" i="30"/>
  <c r="D4" i="30"/>
  <c r="C2" i="30"/>
  <c r="H13" i="29"/>
  <c r="D3" i="26"/>
  <c r="I3" i="26" s="1"/>
  <c r="E14" i="20"/>
  <c r="H14" i="20"/>
  <c r="G14" i="20"/>
  <c r="E10" i="20"/>
  <c r="H10" i="20"/>
  <c r="G10" i="20"/>
  <c r="H20" i="20"/>
  <c r="G20" i="20"/>
  <c r="E20" i="20"/>
  <c r="H16" i="20"/>
  <c r="G16" i="20"/>
  <c r="E16" i="20"/>
  <c r="G33" i="20"/>
  <c r="E33" i="20"/>
  <c r="H12" i="20"/>
  <c r="G12" i="20"/>
  <c r="E12" i="20"/>
  <c r="E18" i="20"/>
  <c r="H18" i="20"/>
  <c r="G18" i="20"/>
  <c r="E42" i="20"/>
  <c r="G29" i="20"/>
  <c r="E29" i="20"/>
  <c r="F35" i="20"/>
  <c r="F36" i="20" s="1"/>
  <c r="E3" i="21" s="1"/>
  <c r="E22" i="20"/>
  <c r="H22" i="20"/>
  <c r="G22" i="20"/>
  <c r="X3" i="26" l="1"/>
  <c r="C19" i="42"/>
  <c r="D18" i="42"/>
  <c r="D16" i="42" s="1"/>
  <c r="G71" i="20"/>
  <c r="I16" i="20"/>
  <c r="F5" i="21"/>
  <c r="H5" i="21" s="1"/>
  <c r="H58" i="20"/>
  <c r="H59" i="20" s="1"/>
  <c r="E35" i="20"/>
  <c r="E36" i="20" s="1"/>
  <c r="C20" i="42"/>
  <c r="C18" i="42"/>
  <c r="C16" i="42" s="1"/>
  <c r="D12" i="41"/>
  <c r="E6" i="41"/>
  <c r="E12" i="41" s="1"/>
  <c r="E47" i="20"/>
  <c r="E48" i="20" s="1"/>
  <c r="H68" i="20"/>
  <c r="D70" i="20" s="1"/>
  <c r="I47" i="20"/>
  <c r="I48" i="20" s="1"/>
  <c r="I17" i="20"/>
  <c r="F25" i="28"/>
  <c r="F24" i="28" s="1"/>
  <c r="I20" i="20"/>
  <c r="I58" i="20"/>
  <c r="I59" i="20" s="1"/>
  <c r="G47" i="20"/>
  <c r="G48" i="20" s="1"/>
  <c r="I22" i="20"/>
  <c r="H47" i="20"/>
  <c r="H48" i="20" s="1"/>
  <c r="N25" i="25"/>
  <c r="E40" i="28"/>
  <c r="F40" i="28" s="1"/>
  <c r="T22" i="28" s="1"/>
  <c r="AC4" i="28"/>
  <c r="G35" i="20"/>
  <c r="G36" i="20" s="1"/>
  <c r="I12" i="20"/>
  <c r="I14" i="20"/>
  <c r="G4" i="21"/>
  <c r="F4" i="21"/>
  <c r="I18" i="20"/>
  <c r="E60" i="20"/>
  <c r="I10" i="20"/>
  <c r="F3" i="21"/>
  <c r="G3" i="21"/>
  <c r="B76" i="31"/>
  <c r="E76" i="31" s="1"/>
  <c r="D3" i="30"/>
  <c r="B28" i="31"/>
  <c r="C28" i="31" s="1"/>
  <c r="B24" i="31"/>
  <c r="D24" i="31" s="1"/>
  <c r="G3" i="30"/>
  <c r="F3" i="30"/>
  <c r="B27" i="31"/>
  <c r="E27" i="31" s="1"/>
  <c r="B25" i="31"/>
  <c r="D25" i="31" s="1"/>
  <c r="B26" i="31"/>
  <c r="E26" i="31" s="1"/>
  <c r="B30" i="31"/>
  <c r="C30" i="31" s="1"/>
  <c r="B31" i="31"/>
  <c r="E31" i="31" s="1"/>
  <c r="B29" i="31"/>
  <c r="E29" i="31" s="1"/>
  <c r="B23" i="31"/>
  <c r="C23" i="31" s="1"/>
  <c r="O2" i="38"/>
  <c r="B22" i="31"/>
  <c r="B21" i="31"/>
  <c r="D21" i="31" s="1"/>
  <c r="B20" i="31"/>
  <c r="C20" i="31" s="1"/>
  <c r="J3" i="30"/>
  <c r="N24" i="25"/>
  <c r="X4" i="28"/>
  <c r="E39" i="28"/>
  <c r="F39" i="28" s="1"/>
  <c r="M3" i="30"/>
  <c r="K3" i="30"/>
  <c r="H3" i="30"/>
  <c r="E14" i="31"/>
  <c r="D14" i="31"/>
  <c r="C14" i="31"/>
  <c r="D10" i="31"/>
  <c r="E10" i="31"/>
  <c r="C10" i="31"/>
  <c r="D8" i="31"/>
  <c r="C8" i="31"/>
  <c r="E8" i="31"/>
  <c r="E11" i="31"/>
  <c r="D11" i="31"/>
  <c r="C11" i="31"/>
  <c r="L3" i="30"/>
  <c r="C3" i="30"/>
  <c r="E13" i="31"/>
  <c r="D13" i="31"/>
  <c r="C13" i="31"/>
  <c r="D12" i="31"/>
  <c r="E12" i="31"/>
  <c r="B5" i="34"/>
  <c r="C5" i="34" s="1"/>
  <c r="C12" i="31"/>
  <c r="C3" i="31"/>
  <c r="B2" i="34"/>
  <c r="E3" i="31"/>
  <c r="D3" i="31"/>
  <c r="B15" i="31"/>
  <c r="B3" i="34"/>
  <c r="C3" i="34" s="1"/>
  <c r="E6" i="31"/>
  <c r="D6" i="31"/>
  <c r="C6" i="31"/>
  <c r="E3" i="30"/>
  <c r="N3" i="30"/>
  <c r="E5" i="31"/>
  <c r="C5" i="31"/>
  <c r="D5" i="31"/>
  <c r="I3" i="30"/>
  <c r="D4" i="31"/>
  <c r="E4" i="31"/>
  <c r="C4" i="31"/>
  <c r="E7" i="31"/>
  <c r="D7" i="31"/>
  <c r="C7" i="31"/>
  <c r="E9" i="31"/>
  <c r="B4" i="34"/>
  <c r="C4" i="34" s="1"/>
  <c r="D9" i="31"/>
  <c r="C9" i="31"/>
  <c r="I18" i="29"/>
  <c r="O12" i="28"/>
  <c r="O13" i="28" s="1"/>
  <c r="P24" i="25" s="1"/>
  <c r="P23" i="25" s="1"/>
  <c r="K23" i="25"/>
  <c r="P8" i="19"/>
  <c r="I35" i="20"/>
  <c r="I36" i="20" s="1"/>
  <c r="H35" i="20"/>
  <c r="H36" i="20" s="1"/>
  <c r="H4" i="21" l="1"/>
  <c r="E49" i="20"/>
  <c r="D37" i="20"/>
  <c r="I38" i="28"/>
  <c r="J10" i="28"/>
  <c r="C42" i="42"/>
  <c r="C31" i="31"/>
  <c r="F31" i="31" s="1"/>
  <c r="H10" i="38"/>
  <c r="I5" i="37" s="1"/>
  <c r="D31" i="31"/>
  <c r="E30" i="31"/>
  <c r="D28" i="31"/>
  <c r="E28" i="31"/>
  <c r="C27" i="31"/>
  <c r="F27" i="31" s="1"/>
  <c r="D30" i="31"/>
  <c r="D27" i="31"/>
  <c r="E24" i="31"/>
  <c r="D23" i="31"/>
  <c r="C26" i="31"/>
  <c r="F26" i="31" s="1"/>
  <c r="B13" i="34"/>
  <c r="C13" i="34" s="1"/>
  <c r="E13" i="34" s="1"/>
  <c r="E23" i="31"/>
  <c r="D26" i="31"/>
  <c r="B12" i="34"/>
  <c r="C12" i="34" s="1"/>
  <c r="F12" i="34" s="1"/>
  <c r="C25" i="31"/>
  <c r="F25" i="31" s="1"/>
  <c r="D76" i="31"/>
  <c r="E25" i="31"/>
  <c r="C24" i="31"/>
  <c r="F24" i="31" s="1"/>
  <c r="C76" i="31"/>
  <c r="H3" i="21"/>
  <c r="I42" i="28"/>
  <c r="H24" i="38"/>
  <c r="I24" i="38"/>
  <c r="B24" i="38"/>
  <c r="D20" i="31"/>
  <c r="M24" i="38"/>
  <c r="J24" i="38"/>
  <c r="L24" i="38"/>
  <c r="E24" i="38"/>
  <c r="F24" i="38"/>
  <c r="C24" i="38"/>
  <c r="D24" i="38"/>
  <c r="C23" i="42"/>
  <c r="M26" i="38"/>
  <c r="G26" i="38"/>
  <c r="I26" i="38"/>
  <c r="E26" i="38"/>
  <c r="L26" i="38"/>
  <c r="H26" i="38"/>
  <c r="D26" i="38"/>
  <c r="C26" i="38"/>
  <c r="J26" i="38"/>
  <c r="K26" i="38"/>
  <c r="F26" i="38"/>
  <c r="K24" i="38"/>
  <c r="E21" i="31"/>
  <c r="G24" i="38"/>
  <c r="F38" i="28"/>
  <c r="C29" i="31"/>
  <c r="F29" i="31" s="1"/>
  <c r="G29" i="31" s="1"/>
  <c r="D29" i="31"/>
  <c r="E20" i="31"/>
  <c r="B41" i="31"/>
  <c r="F6" i="38"/>
  <c r="B74" i="31"/>
  <c r="C74" i="31" s="1"/>
  <c r="F10" i="38"/>
  <c r="B77" i="31"/>
  <c r="E77" i="31" s="1"/>
  <c r="I10" i="38"/>
  <c r="B44" i="31"/>
  <c r="I6" i="38"/>
  <c r="B42" i="31"/>
  <c r="G6" i="38"/>
  <c r="B78" i="31"/>
  <c r="D78" i="31" s="1"/>
  <c r="J10" i="38"/>
  <c r="B57" i="31"/>
  <c r="C57" i="31" s="1"/>
  <c r="F8" i="38"/>
  <c r="B59" i="31"/>
  <c r="D59" i="31" s="1"/>
  <c r="H8" i="38"/>
  <c r="B45" i="31"/>
  <c r="J6" i="38"/>
  <c r="B75" i="31"/>
  <c r="D75" i="31" s="1"/>
  <c r="G10" i="38"/>
  <c r="B61" i="31"/>
  <c r="E61" i="31" s="1"/>
  <c r="J8" i="38"/>
  <c r="B58" i="31"/>
  <c r="D58" i="31" s="1"/>
  <c r="G8" i="38"/>
  <c r="B60" i="31"/>
  <c r="C60" i="31" s="1"/>
  <c r="I8" i="38"/>
  <c r="B14" i="34"/>
  <c r="C14" i="34" s="1"/>
  <c r="F14" i="34" s="1"/>
  <c r="B43" i="31"/>
  <c r="H6" i="38"/>
  <c r="C21" i="31"/>
  <c r="B11" i="34"/>
  <c r="I11" i="34" s="1"/>
  <c r="K11" i="34" s="1"/>
  <c r="D11" i="34" s="1"/>
  <c r="B80" i="31"/>
  <c r="E80" i="31" s="1"/>
  <c r="L10" i="38"/>
  <c r="B63" i="31"/>
  <c r="C63" i="31" s="1"/>
  <c r="L8" i="38"/>
  <c r="B47" i="31"/>
  <c r="L6" i="38"/>
  <c r="B48" i="31"/>
  <c r="M6" i="38"/>
  <c r="B64" i="31"/>
  <c r="D64" i="31" s="1"/>
  <c r="M8" i="38"/>
  <c r="B62" i="31"/>
  <c r="K8" i="38"/>
  <c r="B46" i="31"/>
  <c r="K6" i="38"/>
  <c r="B79" i="31"/>
  <c r="D79" i="31" s="1"/>
  <c r="K10" i="38"/>
  <c r="C22" i="31"/>
  <c r="D22" i="31"/>
  <c r="E22" i="31"/>
  <c r="B56" i="31"/>
  <c r="E56" i="31" s="1"/>
  <c r="E8" i="38"/>
  <c r="B73" i="31"/>
  <c r="C73" i="31" s="1"/>
  <c r="E10" i="38"/>
  <c r="B40" i="31"/>
  <c r="E6" i="38"/>
  <c r="B72" i="31"/>
  <c r="D72" i="31" s="1"/>
  <c r="D10" i="38"/>
  <c r="B39" i="31"/>
  <c r="D6" i="38"/>
  <c r="B55" i="31"/>
  <c r="C55" i="31" s="1"/>
  <c r="D8" i="38"/>
  <c r="B32" i="31"/>
  <c r="E32" i="31" s="1"/>
  <c r="B54" i="31"/>
  <c r="D54" i="31" s="1"/>
  <c r="C8" i="38"/>
  <c r="B38" i="31"/>
  <c r="C6" i="38"/>
  <c r="B71" i="31"/>
  <c r="D71" i="31" s="1"/>
  <c r="C10" i="38"/>
  <c r="B53" i="31"/>
  <c r="C53" i="31" s="1"/>
  <c r="B8" i="38"/>
  <c r="B70" i="31"/>
  <c r="D70" i="31" s="1"/>
  <c r="B10" i="38"/>
  <c r="B37" i="31"/>
  <c r="B6" i="38"/>
  <c r="I6" i="28"/>
  <c r="Y12" i="28" s="1"/>
  <c r="N4" i="38"/>
  <c r="O4" i="38" s="1"/>
  <c r="I41" i="28"/>
  <c r="O22" i="28"/>
  <c r="F13" i="28"/>
  <c r="I28" i="25"/>
  <c r="T21" i="28"/>
  <c r="T23" i="28" s="1"/>
  <c r="N28" i="25" s="1"/>
  <c r="F13" i="31"/>
  <c r="F11" i="31"/>
  <c r="M10" i="38"/>
  <c r="F9" i="31"/>
  <c r="F14" i="31"/>
  <c r="F23" i="31"/>
  <c r="G23" i="31" s="1"/>
  <c r="F28" i="31"/>
  <c r="G28" i="31" s="1"/>
  <c r="F7" i="31"/>
  <c r="F5" i="31"/>
  <c r="F12" i="31"/>
  <c r="F6" i="31"/>
  <c r="F3" i="31"/>
  <c r="D15" i="31"/>
  <c r="F30" i="31"/>
  <c r="E15" i="31"/>
  <c r="I5" i="34"/>
  <c r="E5" i="34"/>
  <c r="F5" i="34"/>
  <c r="F20" i="31"/>
  <c r="I2" i="34"/>
  <c r="B6" i="34"/>
  <c r="C2" i="34"/>
  <c r="I4" i="34"/>
  <c r="E4" i="34"/>
  <c r="F4" i="34"/>
  <c r="I3" i="34"/>
  <c r="E3" i="34"/>
  <c r="F3" i="34"/>
  <c r="C15" i="31"/>
  <c r="F4" i="31"/>
  <c r="F8" i="31"/>
  <c r="F10" i="31"/>
  <c r="L13" i="38"/>
  <c r="H13" i="38"/>
  <c r="G13" i="38"/>
  <c r="J13" i="38"/>
  <c r="F13" i="38"/>
  <c r="E13" i="38"/>
  <c r="D13" i="38"/>
  <c r="M13" i="38"/>
  <c r="I13" i="38"/>
  <c r="K13" i="38"/>
  <c r="C13" i="38"/>
  <c r="I4" i="37" l="1"/>
  <c r="C35" i="42"/>
  <c r="C31" i="42"/>
  <c r="C36" i="42"/>
  <c r="C38" i="42"/>
  <c r="C29" i="42"/>
  <c r="C37" i="42"/>
  <c r="C30" i="42"/>
  <c r="C39" i="42"/>
  <c r="C34" i="42"/>
  <c r="C32" i="42"/>
  <c r="C28" i="42"/>
  <c r="C33" i="42"/>
  <c r="C64" i="42"/>
  <c r="E23" i="42"/>
  <c r="F76" i="31"/>
  <c r="G76" i="31" s="1"/>
  <c r="E79" i="31"/>
  <c r="C61" i="31"/>
  <c r="F61" i="31" s="1"/>
  <c r="G61" i="31" s="1"/>
  <c r="D61" i="31"/>
  <c r="D32" i="31"/>
  <c r="E54" i="31"/>
  <c r="F13" i="34"/>
  <c r="I13" i="34"/>
  <c r="K13" i="34" s="1"/>
  <c r="D13" i="34" s="1"/>
  <c r="G13" i="34" s="1"/>
  <c r="C80" i="31"/>
  <c r="C64" i="31"/>
  <c r="C54" i="31"/>
  <c r="C71" i="31"/>
  <c r="D60" i="31"/>
  <c r="I12" i="34"/>
  <c r="K12" i="34" s="1"/>
  <c r="D12" i="34" s="1"/>
  <c r="G12" i="34" s="1"/>
  <c r="E71" i="31"/>
  <c r="D80" i="31"/>
  <c r="E12" i="34"/>
  <c r="C11" i="34"/>
  <c r="E11" i="34" s="1"/>
  <c r="E57" i="31"/>
  <c r="C77" i="31"/>
  <c r="F77" i="31" s="1"/>
  <c r="G77" i="31" s="1"/>
  <c r="D57" i="31"/>
  <c r="F57" i="31" s="1"/>
  <c r="G57" i="31" s="1"/>
  <c r="E58" i="31"/>
  <c r="C58" i="31"/>
  <c r="D77" i="31"/>
  <c r="B21" i="34"/>
  <c r="I21" i="34" s="1"/>
  <c r="F21" i="31"/>
  <c r="E60" i="31"/>
  <c r="B15" i="34"/>
  <c r="C78" i="31"/>
  <c r="E78" i="31"/>
  <c r="B37" i="34"/>
  <c r="I37" i="34" s="1"/>
  <c r="C37" i="34" s="1"/>
  <c r="E37" i="34" s="1"/>
  <c r="E74" i="31"/>
  <c r="D74" i="31"/>
  <c r="F74" i="31" s="1"/>
  <c r="G74" i="31" s="1"/>
  <c r="D63" i="31"/>
  <c r="M15" i="19"/>
  <c r="M7" i="19" s="1"/>
  <c r="I3" i="37"/>
  <c r="I23" i="37" s="1"/>
  <c r="I21" i="37" s="1"/>
  <c r="I20" i="37" s="1"/>
  <c r="G15" i="19"/>
  <c r="G7" i="19" s="1"/>
  <c r="F15" i="19"/>
  <c r="F7" i="19" s="1"/>
  <c r="N24" i="38"/>
  <c r="O24" i="38" s="1"/>
  <c r="L15" i="19"/>
  <c r="L7" i="19" s="1"/>
  <c r="C56" i="31"/>
  <c r="B22" i="34"/>
  <c r="I22" i="34" s="1"/>
  <c r="K15" i="19"/>
  <c r="K7" i="19" s="1"/>
  <c r="H15" i="19"/>
  <c r="H7" i="19" s="1"/>
  <c r="D56" i="31"/>
  <c r="D15" i="19"/>
  <c r="D7" i="19" s="1"/>
  <c r="N15" i="19"/>
  <c r="N7" i="19" s="1"/>
  <c r="J15" i="19"/>
  <c r="J7" i="19" s="1"/>
  <c r="B29" i="34"/>
  <c r="I29" i="34" s="1"/>
  <c r="K29" i="34" s="1"/>
  <c r="D29" i="34" s="1"/>
  <c r="E15" i="19"/>
  <c r="E7" i="19" s="1"/>
  <c r="C28" i="38"/>
  <c r="K28" i="38"/>
  <c r="L32" i="38"/>
  <c r="F30" i="38"/>
  <c r="J30" i="38"/>
  <c r="H30" i="38"/>
  <c r="E28" i="38"/>
  <c r="E30" i="38"/>
  <c r="K32" i="38"/>
  <c r="F28" i="38"/>
  <c r="M28" i="38"/>
  <c r="L28" i="38"/>
  <c r="C32" i="38"/>
  <c r="D30" i="38"/>
  <c r="H28" i="38"/>
  <c r="G28" i="38"/>
  <c r="B32" i="38"/>
  <c r="J32" i="38"/>
  <c r="H32" i="38"/>
  <c r="L30" i="38"/>
  <c r="C30" i="38"/>
  <c r="K30" i="38"/>
  <c r="D28" i="38"/>
  <c r="I28" i="38"/>
  <c r="D32" i="38"/>
  <c r="J28" i="38"/>
  <c r="F32" i="38"/>
  <c r="I30" i="38"/>
  <c r="E32" i="38"/>
  <c r="G30" i="38"/>
  <c r="G32" i="38"/>
  <c r="I32" i="38"/>
  <c r="M30" i="38"/>
  <c r="B26" i="38"/>
  <c r="C72" i="31"/>
  <c r="I15" i="19"/>
  <c r="I7" i="19" s="1"/>
  <c r="I14" i="34"/>
  <c r="K14" i="34" s="1"/>
  <c r="D14" i="34" s="1"/>
  <c r="D15" i="34" s="1"/>
  <c r="E14" i="34"/>
  <c r="C79" i="31"/>
  <c r="E64" i="31"/>
  <c r="B31" i="34"/>
  <c r="I31" i="34" s="1"/>
  <c r="C31" i="34" s="1"/>
  <c r="D53" i="31"/>
  <c r="F22" i="31"/>
  <c r="E53" i="31"/>
  <c r="B28" i="34"/>
  <c r="I28" i="34" s="1"/>
  <c r="K28" i="34" s="1"/>
  <c r="D28" i="34" s="1"/>
  <c r="E70" i="31"/>
  <c r="E55" i="31"/>
  <c r="D62" i="31"/>
  <c r="C75" i="31"/>
  <c r="C62" i="31"/>
  <c r="C65" i="31" s="1"/>
  <c r="E75" i="31"/>
  <c r="E59" i="31"/>
  <c r="E62" i="31"/>
  <c r="C59" i="31"/>
  <c r="B30" i="34"/>
  <c r="I30" i="34" s="1"/>
  <c r="C30" i="34" s="1"/>
  <c r="K4" i="36"/>
  <c r="K5" i="36"/>
  <c r="K4" i="37"/>
  <c r="K5" i="37"/>
  <c r="J5" i="37"/>
  <c r="J4" i="37"/>
  <c r="H5" i="37"/>
  <c r="H4" i="37"/>
  <c r="B23" i="34"/>
  <c r="I23" i="34" s="1"/>
  <c r="J4" i="36"/>
  <c r="J5" i="36"/>
  <c r="I5" i="36"/>
  <c r="I4" i="36"/>
  <c r="G5" i="37"/>
  <c r="G4" i="37"/>
  <c r="H5" i="36"/>
  <c r="H4" i="36"/>
  <c r="G4" i="36"/>
  <c r="G5" i="36"/>
  <c r="C70" i="31"/>
  <c r="M5" i="36"/>
  <c r="M4" i="36"/>
  <c r="E63" i="31"/>
  <c r="M5" i="37"/>
  <c r="M4" i="37"/>
  <c r="N5" i="36"/>
  <c r="N4" i="36"/>
  <c r="N5" i="37"/>
  <c r="N4" i="37"/>
  <c r="M32" i="38"/>
  <c r="L4" i="36"/>
  <c r="L5" i="36"/>
  <c r="C32" i="31"/>
  <c r="L4" i="37"/>
  <c r="L5" i="37"/>
  <c r="B65" i="31"/>
  <c r="B36" i="34"/>
  <c r="I36" i="34" s="1"/>
  <c r="C36" i="34" s="1"/>
  <c r="E73" i="31"/>
  <c r="B35" i="34"/>
  <c r="I35" i="34" s="1"/>
  <c r="E72" i="31"/>
  <c r="F4" i="37"/>
  <c r="F5" i="37"/>
  <c r="F4" i="36"/>
  <c r="F5" i="36"/>
  <c r="D73" i="31"/>
  <c r="E4" i="36"/>
  <c r="E5" i="36"/>
  <c r="D55" i="31"/>
  <c r="E5" i="37"/>
  <c r="E4" i="37"/>
  <c r="D5" i="36"/>
  <c r="D4" i="36"/>
  <c r="D5" i="37"/>
  <c r="D4" i="37"/>
  <c r="B13" i="38"/>
  <c r="N10" i="38"/>
  <c r="C5" i="37"/>
  <c r="C4" i="37"/>
  <c r="C5" i="36"/>
  <c r="C4" i="36"/>
  <c r="N8" i="38"/>
  <c r="O8" i="38" s="1"/>
  <c r="N6" i="38"/>
  <c r="O6" i="38" s="1"/>
  <c r="J6" i="28"/>
  <c r="I33" i="28"/>
  <c r="G25" i="31"/>
  <c r="B81" i="31"/>
  <c r="G9" i="31"/>
  <c r="O21" i="28"/>
  <c r="O23" i="28" s="1"/>
  <c r="N27" i="25" s="1"/>
  <c r="I27" i="25"/>
  <c r="G13" i="31"/>
  <c r="G11" i="31"/>
  <c r="G14" i="31"/>
  <c r="G7" i="31"/>
  <c r="E39" i="31"/>
  <c r="C39" i="31"/>
  <c r="D39" i="31"/>
  <c r="G4" i="34"/>
  <c r="E2" i="34"/>
  <c r="F2" i="34"/>
  <c r="E37" i="31"/>
  <c r="B20" i="34"/>
  <c r="D37" i="31"/>
  <c r="C37" i="31"/>
  <c r="B49" i="31"/>
  <c r="C47" i="31"/>
  <c r="D47" i="31"/>
  <c r="E47" i="31"/>
  <c r="D46" i="31"/>
  <c r="E46" i="31"/>
  <c r="C46" i="31"/>
  <c r="G3" i="34"/>
  <c r="G30" i="31"/>
  <c r="G10" i="31"/>
  <c r="D48" i="31"/>
  <c r="E48" i="31"/>
  <c r="C48" i="31"/>
  <c r="E44" i="31"/>
  <c r="D44" i="31"/>
  <c r="C44" i="31"/>
  <c r="G8" i="31"/>
  <c r="E41" i="31"/>
  <c r="C41" i="31"/>
  <c r="D41" i="31"/>
  <c r="G20" i="31"/>
  <c r="F15" i="31"/>
  <c r="G3" i="31"/>
  <c r="G12" i="31"/>
  <c r="G6" i="31"/>
  <c r="G4" i="31"/>
  <c r="E40" i="31"/>
  <c r="D40" i="31"/>
  <c r="C40" i="31"/>
  <c r="G26" i="31"/>
  <c r="E45" i="31"/>
  <c r="C45" i="31"/>
  <c r="D45" i="31"/>
  <c r="G27" i="31"/>
  <c r="E38" i="31"/>
  <c r="D38" i="31"/>
  <c r="C38" i="31"/>
  <c r="G24" i="31"/>
  <c r="E43" i="31"/>
  <c r="C43" i="31"/>
  <c r="D43" i="31"/>
  <c r="G5" i="34"/>
  <c r="G31" i="31"/>
  <c r="G5" i="31"/>
  <c r="D42" i="31"/>
  <c r="E42" i="31"/>
  <c r="C42" i="31"/>
  <c r="B15" i="38"/>
  <c r="C58" i="42" l="1"/>
  <c r="C59" i="42"/>
  <c r="C51" i="42"/>
  <c r="C52" i="42"/>
  <c r="C60" i="42"/>
  <c r="C55" i="42"/>
  <c r="C53" i="42"/>
  <c r="C61" i="42"/>
  <c r="C50" i="42"/>
  <c r="C54" i="42"/>
  <c r="C56" i="42"/>
  <c r="C57" i="42"/>
  <c r="C66" i="42"/>
  <c r="C67" i="42"/>
  <c r="C45" i="42"/>
  <c r="E45" i="42"/>
  <c r="E67" i="42"/>
  <c r="K30" i="34"/>
  <c r="D30" i="34" s="1"/>
  <c r="F64" i="31"/>
  <c r="G64" i="31" s="1"/>
  <c r="F63" i="31"/>
  <c r="G63" i="31" s="1"/>
  <c r="F78" i="31"/>
  <c r="G78" i="31" s="1"/>
  <c r="F79" i="31"/>
  <c r="G79" i="31" s="1"/>
  <c r="F80" i="31"/>
  <c r="G80" i="31" s="1"/>
  <c r="F60" i="31"/>
  <c r="G60" i="31" s="1"/>
  <c r="F71" i="31"/>
  <c r="G71" i="31" s="1"/>
  <c r="C29" i="34"/>
  <c r="F29" i="34" s="1"/>
  <c r="F53" i="31"/>
  <c r="G53" i="31" s="1"/>
  <c r="F58" i="31"/>
  <c r="G58" i="31" s="1"/>
  <c r="F54" i="31"/>
  <c r="G54" i="31" s="1"/>
  <c r="F11" i="34"/>
  <c r="F15" i="34" s="1"/>
  <c r="C15" i="34"/>
  <c r="K31" i="34"/>
  <c r="D31" i="34" s="1"/>
  <c r="F37" i="34"/>
  <c r="F56" i="31"/>
  <c r="G56" i="31" s="1"/>
  <c r="G21" i="31"/>
  <c r="G32" i="31" s="1"/>
  <c r="E15" i="34"/>
  <c r="G15" i="34" s="1"/>
  <c r="F59" i="31"/>
  <c r="G59" i="31" s="1"/>
  <c r="G22" i="31"/>
  <c r="F75" i="31"/>
  <c r="G75" i="31" s="1"/>
  <c r="F32" i="31"/>
  <c r="F72" i="31"/>
  <c r="G72" i="31" s="1"/>
  <c r="P23" i="19"/>
  <c r="G14" i="34"/>
  <c r="D3" i="36"/>
  <c r="D23" i="36" s="1"/>
  <c r="D21" i="36" s="1"/>
  <c r="D20" i="36" s="1"/>
  <c r="E3" i="37"/>
  <c r="E23" i="37" s="1"/>
  <c r="E21" i="37" s="1"/>
  <c r="E20" i="37" s="1"/>
  <c r="H3" i="37"/>
  <c r="H23" i="37" s="1"/>
  <c r="H21" i="37" s="1"/>
  <c r="H20" i="37" s="1"/>
  <c r="K37" i="34"/>
  <c r="D37" i="34" s="1"/>
  <c r="G37" i="34" s="1"/>
  <c r="F17" i="36"/>
  <c r="F18" i="36"/>
  <c r="H3" i="36"/>
  <c r="H23" i="36" s="1"/>
  <c r="H21" i="36" s="1"/>
  <c r="H20" i="36" s="1"/>
  <c r="J3" i="37"/>
  <c r="J23" i="37" s="1"/>
  <c r="J21" i="37" s="1"/>
  <c r="J20" i="37" s="1"/>
  <c r="K18" i="37"/>
  <c r="K17" i="37"/>
  <c r="M18" i="37"/>
  <c r="M17" i="37"/>
  <c r="D65" i="31"/>
  <c r="N18" i="36"/>
  <c r="N17" i="36"/>
  <c r="E18" i="37"/>
  <c r="E17" i="37"/>
  <c r="C18" i="37"/>
  <c r="C17" i="37"/>
  <c r="H18" i="37"/>
  <c r="H17" i="37"/>
  <c r="C15" i="19"/>
  <c r="C7" i="19" s="1"/>
  <c r="P18" i="19"/>
  <c r="N26" i="38"/>
  <c r="O26" i="38" s="1"/>
  <c r="H17" i="36"/>
  <c r="H18" i="36"/>
  <c r="L18" i="36"/>
  <c r="L17" i="36"/>
  <c r="E18" i="36"/>
  <c r="E17" i="36"/>
  <c r="L17" i="37"/>
  <c r="L18" i="37"/>
  <c r="F17" i="37"/>
  <c r="F18" i="37"/>
  <c r="D18" i="36"/>
  <c r="D17" i="36"/>
  <c r="D17" i="37"/>
  <c r="D18" i="37"/>
  <c r="I17" i="36"/>
  <c r="I18" i="36"/>
  <c r="J18" i="37"/>
  <c r="J17" i="37"/>
  <c r="B30" i="38"/>
  <c r="J18" i="36"/>
  <c r="J17" i="36"/>
  <c r="M17" i="36"/>
  <c r="M18" i="36"/>
  <c r="K17" i="36"/>
  <c r="K18" i="36"/>
  <c r="G17" i="37"/>
  <c r="G18" i="37"/>
  <c r="I17" i="37"/>
  <c r="I18" i="37"/>
  <c r="B28" i="38"/>
  <c r="G18" i="36"/>
  <c r="G17" i="36"/>
  <c r="F62" i="31"/>
  <c r="G62" i="31" s="1"/>
  <c r="M3" i="37"/>
  <c r="M23" i="37" s="1"/>
  <c r="M21" i="37" s="1"/>
  <c r="M20" i="37" s="1"/>
  <c r="C28" i="34"/>
  <c r="E28" i="34" s="1"/>
  <c r="F70" i="31"/>
  <c r="G70" i="31" s="1"/>
  <c r="E65" i="31"/>
  <c r="F55" i="31"/>
  <c r="G55" i="31" s="1"/>
  <c r="P5" i="36"/>
  <c r="D3" i="37"/>
  <c r="D23" i="37" s="1"/>
  <c r="D21" i="37" s="1"/>
  <c r="D20" i="37" s="1"/>
  <c r="K3" i="37"/>
  <c r="K23" i="37" s="1"/>
  <c r="K21" i="37" s="1"/>
  <c r="K20" i="37" s="1"/>
  <c r="J3" i="36"/>
  <c r="J23" i="36" s="1"/>
  <c r="J21" i="36" s="1"/>
  <c r="J20" i="36" s="1"/>
  <c r="N3" i="37"/>
  <c r="N23" i="37" s="1"/>
  <c r="N21" i="37" s="1"/>
  <c r="N20" i="37" s="1"/>
  <c r="G3" i="37"/>
  <c r="G23" i="37" s="1"/>
  <c r="G21" i="37" s="1"/>
  <c r="G20" i="37" s="1"/>
  <c r="F73" i="31"/>
  <c r="G73" i="31" s="1"/>
  <c r="N3" i="36"/>
  <c r="N23" i="36" s="1"/>
  <c r="N21" i="36" s="1"/>
  <c r="N20" i="36" s="1"/>
  <c r="M3" i="36"/>
  <c r="M23" i="36" s="1"/>
  <c r="M21" i="36" s="1"/>
  <c r="M20" i="36" s="1"/>
  <c r="K36" i="34"/>
  <c r="D36" i="34" s="1"/>
  <c r="I3" i="36"/>
  <c r="I23" i="36" s="1"/>
  <c r="I21" i="36" s="1"/>
  <c r="I20" i="36" s="1"/>
  <c r="J15" i="38"/>
  <c r="G3" i="36"/>
  <c r="G23" i="36" s="1"/>
  <c r="G21" i="36" s="1"/>
  <c r="G20" i="36" s="1"/>
  <c r="F15" i="38"/>
  <c r="I15" i="38"/>
  <c r="K3" i="36"/>
  <c r="K23" i="36" s="1"/>
  <c r="K21" i="36" s="1"/>
  <c r="K20" i="36" s="1"/>
  <c r="G15" i="38"/>
  <c r="H15" i="38"/>
  <c r="L15" i="38"/>
  <c r="M15" i="38"/>
  <c r="N18" i="37"/>
  <c r="N17" i="37"/>
  <c r="N32" i="38"/>
  <c r="L3" i="37"/>
  <c r="L23" i="37" s="1"/>
  <c r="L21" i="37" s="1"/>
  <c r="L20" i="37" s="1"/>
  <c r="L3" i="36"/>
  <c r="L23" i="36" s="1"/>
  <c r="L21" i="36" s="1"/>
  <c r="L20" i="36" s="1"/>
  <c r="K15" i="38"/>
  <c r="P5" i="37"/>
  <c r="E15" i="38"/>
  <c r="F3" i="36"/>
  <c r="F23" i="36" s="1"/>
  <c r="F21" i="36" s="1"/>
  <c r="F20" i="36" s="1"/>
  <c r="F3" i="37"/>
  <c r="F23" i="37" s="1"/>
  <c r="F21" i="37" s="1"/>
  <c r="F20" i="37" s="1"/>
  <c r="D15" i="38"/>
  <c r="E3" i="36"/>
  <c r="E23" i="36" s="1"/>
  <c r="E21" i="36" s="1"/>
  <c r="E20" i="36" s="1"/>
  <c r="C15" i="38"/>
  <c r="C3" i="37"/>
  <c r="P4" i="37"/>
  <c r="O10" i="38"/>
  <c r="P4" i="36"/>
  <c r="C3" i="36"/>
  <c r="N13" i="38"/>
  <c r="O13" i="38" s="1"/>
  <c r="F30" i="34"/>
  <c r="E30" i="34"/>
  <c r="F36" i="34"/>
  <c r="E36" i="34"/>
  <c r="C81" i="31"/>
  <c r="C82" i="31" s="1"/>
  <c r="D81" i="31"/>
  <c r="E81" i="31"/>
  <c r="E82" i="31" s="1"/>
  <c r="B38" i="34"/>
  <c r="B82" i="31"/>
  <c r="F31" i="34"/>
  <c r="E31" i="34"/>
  <c r="D32" i="34"/>
  <c r="K35" i="34"/>
  <c r="D35" i="34" s="1"/>
  <c r="C35" i="34"/>
  <c r="F43" i="31"/>
  <c r="G43" i="31" s="1"/>
  <c r="J21" i="38"/>
  <c r="K19" i="37" s="1"/>
  <c r="K15" i="37" s="1"/>
  <c r="K7" i="37" s="1"/>
  <c r="C21" i="38"/>
  <c r="D19" i="37" s="1"/>
  <c r="E21" i="38"/>
  <c r="F19" i="37" s="1"/>
  <c r="D21" i="38"/>
  <c r="E19" i="37" s="1"/>
  <c r="L21" i="38"/>
  <c r="M19" i="37" s="1"/>
  <c r="F21" i="38"/>
  <c r="G19" i="37" s="1"/>
  <c r="B21" i="38"/>
  <c r="K21" i="38"/>
  <c r="L19" i="37" s="1"/>
  <c r="H21" i="38"/>
  <c r="I19" i="37" s="1"/>
  <c r="G21" i="38"/>
  <c r="H19" i="37" s="1"/>
  <c r="I21" i="38"/>
  <c r="J19" i="37" s="1"/>
  <c r="M21" i="38"/>
  <c r="N19" i="37" s="1"/>
  <c r="F46" i="31"/>
  <c r="G46" i="31" s="1"/>
  <c r="F38" i="31"/>
  <c r="G38" i="31" s="1"/>
  <c r="F40" i="31"/>
  <c r="G40" i="31" s="1"/>
  <c r="G15" i="31"/>
  <c r="B32" i="34"/>
  <c r="G11" i="34"/>
  <c r="F41" i="31"/>
  <c r="G41" i="31" s="1"/>
  <c r="F42" i="31"/>
  <c r="G42" i="31" s="1"/>
  <c r="F44" i="31"/>
  <c r="G44" i="31" s="1"/>
  <c r="K23" i="34"/>
  <c r="D23" i="34" s="1"/>
  <c r="C23" i="34"/>
  <c r="G2" i="34"/>
  <c r="C49" i="31"/>
  <c r="F37" i="31"/>
  <c r="C19" i="38"/>
  <c r="D19" i="36" s="1"/>
  <c r="L19" i="38"/>
  <c r="M19" i="36" s="1"/>
  <c r="H19" i="38"/>
  <c r="I19" i="36" s="1"/>
  <c r="B19" i="38"/>
  <c r="K19" i="38"/>
  <c r="L19" i="36" s="1"/>
  <c r="F19" i="38"/>
  <c r="G19" i="36" s="1"/>
  <c r="E19" i="38"/>
  <c r="F19" i="36" s="1"/>
  <c r="F15" i="36" s="1"/>
  <c r="F7" i="36" s="1"/>
  <c r="D19" i="38"/>
  <c r="E19" i="36" s="1"/>
  <c r="J19" i="38"/>
  <c r="K19" i="36" s="1"/>
  <c r="M19" i="38"/>
  <c r="N19" i="36" s="1"/>
  <c r="I19" i="38"/>
  <c r="J19" i="36" s="1"/>
  <c r="G19" i="38"/>
  <c r="H19" i="36" s="1"/>
  <c r="D49" i="31"/>
  <c r="K22" i="34"/>
  <c r="D22" i="34" s="1"/>
  <c r="C22" i="34"/>
  <c r="F45" i="31"/>
  <c r="G45" i="31" s="1"/>
  <c r="I20" i="34"/>
  <c r="B24" i="34"/>
  <c r="F48" i="31"/>
  <c r="G48" i="31" s="1"/>
  <c r="F47" i="31"/>
  <c r="G47" i="31" s="1"/>
  <c r="E49" i="31"/>
  <c r="C21" i="34"/>
  <c r="K21" i="34"/>
  <c r="D21" i="34" s="1"/>
  <c r="F39" i="31"/>
  <c r="G39" i="31" s="1"/>
  <c r="I17" i="38"/>
  <c r="F17" i="38"/>
  <c r="B17" i="38"/>
  <c r="J17" i="38"/>
  <c r="C17" i="38"/>
  <c r="D17" i="38"/>
  <c r="G17" i="38"/>
  <c r="M17" i="38"/>
  <c r="L17" i="38"/>
  <c r="K17" i="38"/>
  <c r="H17" i="38"/>
  <c r="E17" i="38"/>
  <c r="E29" i="34" l="1"/>
  <c r="E15" i="36"/>
  <c r="E7" i="36" s="1"/>
  <c r="C14" i="29"/>
  <c r="E14" i="29" s="1"/>
  <c r="C13" i="29"/>
  <c r="E13" i="29" s="1"/>
  <c r="C12" i="29"/>
  <c r="E12" i="29" s="1"/>
  <c r="C11" i="29"/>
  <c r="E11" i="29" s="1"/>
  <c r="C10" i="29"/>
  <c r="E10" i="29" s="1"/>
  <c r="C6" i="29"/>
  <c r="E6" i="29" s="1"/>
  <c r="C16" i="29"/>
  <c r="E16" i="29" s="1"/>
  <c r="C15" i="29"/>
  <c r="E15" i="29" s="1"/>
  <c r="C9" i="29"/>
  <c r="E9" i="29" s="1"/>
  <c r="C7" i="29"/>
  <c r="E7" i="29" s="1"/>
  <c r="C8" i="29"/>
  <c r="E8" i="29" s="1"/>
  <c r="K9" i="25"/>
  <c r="C44" i="42"/>
  <c r="E43" i="42"/>
  <c r="E41" i="42"/>
  <c r="E66" i="42"/>
  <c r="E44" i="42"/>
  <c r="F15" i="37"/>
  <c r="F7" i="37" s="1"/>
  <c r="F6" i="37" s="1"/>
  <c r="J15" i="37"/>
  <c r="J7" i="37" s="1"/>
  <c r="J6" i="37" s="1"/>
  <c r="L15" i="36"/>
  <c r="L7" i="36" s="1"/>
  <c r="L6" i="36" s="1"/>
  <c r="O32" i="38"/>
  <c r="M15" i="36"/>
  <c r="M7" i="36" s="1"/>
  <c r="M6" i="36" s="1"/>
  <c r="C32" i="34"/>
  <c r="H15" i="37"/>
  <c r="H7" i="37" s="1"/>
  <c r="H6" i="37" s="1"/>
  <c r="F28" i="34"/>
  <c r="F32" i="34" s="1"/>
  <c r="F22" i="28"/>
  <c r="F21" i="28" s="1"/>
  <c r="J15" i="36"/>
  <c r="J7" i="36" s="1"/>
  <c r="J6" i="36" s="1"/>
  <c r="I15" i="36"/>
  <c r="I7" i="36" s="1"/>
  <c r="I6" i="36" s="1"/>
  <c r="G15" i="36"/>
  <c r="G7" i="36" s="1"/>
  <c r="G6" i="36" s="1"/>
  <c r="P18" i="37"/>
  <c r="I15" i="37"/>
  <c r="I7" i="37" s="1"/>
  <c r="I6" i="37" s="1"/>
  <c r="K15" i="36"/>
  <c r="K7" i="36" s="1"/>
  <c r="K6" i="36" s="1"/>
  <c r="D15" i="36"/>
  <c r="D7" i="36" s="1"/>
  <c r="D6" i="36" s="1"/>
  <c r="N15" i="36"/>
  <c r="N7" i="36" s="1"/>
  <c r="N6" i="36" s="1"/>
  <c r="L15" i="37"/>
  <c r="L7" i="37" s="1"/>
  <c r="L6" i="37" s="1"/>
  <c r="C18" i="36"/>
  <c r="P18" i="36" s="1"/>
  <c r="C17" i="36"/>
  <c r="P17" i="36" s="1"/>
  <c r="N30" i="38"/>
  <c r="O30" i="38" s="1"/>
  <c r="G15" i="37"/>
  <c r="G7" i="37" s="1"/>
  <c r="G6" i="37" s="1"/>
  <c r="M15" i="37"/>
  <c r="M7" i="37" s="1"/>
  <c r="M6" i="37" s="1"/>
  <c r="G65" i="31"/>
  <c r="E44" i="28"/>
  <c r="P17" i="19"/>
  <c r="E15" i="37"/>
  <c r="E7" i="37" s="1"/>
  <c r="E6" i="37" s="1"/>
  <c r="F65" i="31"/>
  <c r="H15" i="36"/>
  <c r="H7" i="36" s="1"/>
  <c r="H6" i="36" s="1"/>
  <c r="D15" i="37"/>
  <c r="D7" i="37" s="1"/>
  <c r="D6" i="37" s="1"/>
  <c r="N28" i="38"/>
  <c r="O28" i="38" s="1"/>
  <c r="K6" i="37"/>
  <c r="E6" i="36"/>
  <c r="G36" i="34"/>
  <c r="N15" i="37"/>
  <c r="N7" i="37" s="1"/>
  <c r="N6" i="37" s="1"/>
  <c r="P17" i="37"/>
  <c r="N15" i="38"/>
  <c r="O15" i="38" s="1"/>
  <c r="F6" i="36"/>
  <c r="C19" i="37"/>
  <c r="N21" i="38"/>
  <c r="N17" i="38"/>
  <c r="P3" i="36"/>
  <c r="C23" i="36"/>
  <c r="C19" i="36"/>
  <c r="N19" i="38"/>
  <c r="C23" i="37"/>
  <c r="P3" i="37"/>
  <c r="G30" i="34"/>
  <c r="K24" i="36" s="1"/>
  <c r="G31" i="34"/>
  <c r="N24" i="36" s="1"/>
  <c r="E32" i="34"/>
  <c r="G29" i="34"/>
  <c r="H24" i="36" s="1"/>
  <c r="I38" i="34"/>
  <c r="B39" i="34"/>
  <c r="F81" i="31"/>
  <c r="D82" i="31"/>
  <c r="F35" i="34"/>
  <c r="E35" i="34"/>
  <c r="G28" i="34"/>
  <c r="E22" i="34"/>
  <c r="F22" i="34"/>
  <c r="E23" i="34"/>
  <c r="F23" i="34"/>
  <c r="K20" i="34"/>
  <c r="D20" i="34" s="1"/>
  <c r="C20" i="34"/>
  <c r="F49" i="31"/>
  <c r="G37" i="31"/>
  <c r="G49" i="31" s="1"/>
  <c r="E21" i="34"/>
  <c r="F21" i="34"/>
  <c r="F18" i="28"/>
  <c r="P19" i="19"/>
  <c r="C41" i="42" l="1"/>
  <c r="C43" i="42"/>
  <c r="AD12" i="28"/>
  <c r="E65" i="42"/>
  <c r="E63" i="42"/>
  <c r="C65" i="42"/>
  <c r="C63" i="42"/>
  <c r="I37" i="28"/>
  <c r="J9" i="28"/>
  <c r="AC12" i="28"/>
  <c r="J4" i="28"/>
  <c r="O19" i="38"/>
  <c r="P19" i="36"/>
  <c r="C15" i="36"/>
  <c r="C21" i="36"/>
  <c r="P23" i="36"/>
  <c r="O17" i="38"/>
  <c r="C21" i="37"/>
  <c r="P23" i="37"/>
  <c r="O21" i="38"/>
  <c r="P19" i="37"/>
  <c r="C15" i="37"/>
  <c r="G35" i="34"/>
  <c r="G81" i="31"/>
  <c r="G82" i="31" s="1"/>
  <c r="F82" i="31"/>
  <c r="G23" i="34"/>
  <c r="K38" i="34"/>
  <c r="D38" i="34" s="1"/>
  <c r="D39" i="34" s="1"/>
  <c r="C38" i="34"/>
  <c r="G32" i="34"/>
  <c r="E24" i="36"/>
  <c r="P24" i="36" s="1"/>
  <c r="G22" i="34"/>
  <c r="G21" i="34"/>
  <c r="E20" i="34"/>
  <c r="E24" i="34" s="1"/>
  <c r="F20" i="34"/>
  <c r="F24" i="34" s="1"/>
  <c r="C24" i="34"/>
  <c r="D24" i="34"/>
  <c r="F17" i="28"/>
  <c r="J7" i="28" s="1"/>
  <c r="I35" i="28"/>
  <c r="AD13" i="28"/>
  <c r="P15" i="19"/>
  <c r="P7" i="19"/>
  <c r="C40" i="42" l="1"/>
  <c r="E40" i="42"/>
  <c r="AD14" i="28"/>
  <c r="P9" i="25" s="1"/>
  <c r="P7" i="25" s="1"/>
  <c r="P21" i="37"/>
  <c r="C20" i="37"/>
  <c r="P20" i="37" s="1"/>
  <c r="P15" i="37"/>
  <c r="C7" i="37"/>
  <c r="P21" i="36"/>
  <c r="C20" i="36"/>
  <c r="P15" i="36"/>
  <c r="C7" i="36"/>
  <c r="P7" i="36" s="1"/>
  <c r="F38" i="34"/>
  <c r="F39" i="34" s="1"/>
  <c r="E38" i="34"/>
  <c r="C39" i="34"/>
  <c r="F15" i="28"/>
  <c r="I34" i="28"/>
  <c r="G20" i="34"/>
  <c r="J21" i="28" l="1"/>
  <c r="E62" i="42"/>
  <c r="C62" i="42"/>
  <c r="C6" i="36"/>
  <c r="P6" i="36" s="1"/>
  <c r="P20" i="36"/>
  <c r="P7" i="37"/>
  <c r="C6" i="37"/>
  <c r="P6" i="37" s="1"/>
  <c r="G38" i="34"/>
  <c r="E39" i="34"/>
  <c r="G24" i="34"/>
  <c r="E45" i="28" l="1"/>
  <c r="G39" i="34"/>
  <c r="I21" i="28" l="1"/>
  <c r="D26" i="25"/>
  <c r="D23" i="25" s="1"/>
  <c r="D22" i="25" s="1"/>
  <c r="D30" i="25" s="1"/>
  <c r="H28" i="19"/>
  <c r="E28" i="19"/>
  <c r="I28" i="19"/>
  <c r="J28" i="19"/>
  <c r="K28" i="19"/>
  <c r="M28" i="19"/>
  <c r="D28" i="19"/>
  <c r="L28" i="19"/>
  <c r="F28" i="19"/>
  <c r="N28" i="19"/>
  <c r="G28" i="19"/>
  <c r="J34" i="28" l="1"/>
  <c r="E15" i="26"/>
  <c r="N26" i="25"/>
  <c r="N3" i="26"/>
  <c r="D2" i="26"/>
  <c r="E14" i="26" s="1"/>
  <c r="C28" i="19"/>
  <c r="E7" i="26" l="1"/>
  <c r="F27" i="25" s="1"/>
  <c r="I26" i="25"/>
  <c r="N4" i="28"/>
  <c r="F34" i="28"/>
  <c r="P28" i="19"/>
  <c r="F26" i="25" l="1"/>
  <c r="F30" i="25" s="1"/>
  <c r="K27" i="25"/>
  <c r="AC21" i="28"/>
  <c r="I29" i="25"/>
  <c r="N29" i="25" s="1"/>
  <c r="N23" i="25" s="1"/>
  <c r="N22" i="25" s="1"/>
  <c r="AC22" i="28"/>
  <c r="E11" i="26"/>
  <c r="J11" i="26"/>
  <c r="F28" i="28"/>
  <c r="T12" i="28" l="1"/>
  <c r="AC23" i="28"/>
  <c r="I23" i="25"/>
  <c r="I22" i="25" s="1"/>
  <c r="P27" i="25"/>
  <c r="F54" i="25"/>
  <c r="F53" i="25" s="1"/>
  <c r="F57" i="25" s="1"/>
  <c r="J12" i="28"/>
  <c r="I40" i="28"/>
  <c r="B4" i="45" l="1"/>
  <c r="C5" i="29" l="1"/>
  <c r="E5" i="29" s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C2" i="11" l="1"/>
  <c r="J8" i="11" s="1"/>
  <c r="I10" i="25" l="1"/>
  <c r="C6" i="11"/>
  <c r="P5" i="30"/>
  <c r="I13" i="11"/>
  <c r="J14" i="11" s="1"/>
  <c r="J15" i="11" s="1"/>
  <c r="P3" i="30"/>
  <c r="P10" i="30" s="1"/>
  <c r="C20" i="11"/>
  <c r="C21" i="11"/>
  <c r="C22" i="11"/>
  <c r="C17" i="11"/>
  <c r="C13" i="11"/>
  <c r="C11" i="11"/>
  <c r="X12" i="28"/>
  <c r="C19" i="11" l="1"/>
  <c r="C14" i="11"/>
  <c r="C12" i="11"/>
  <c r="C15" i="11"/>
  <c r="C18" i="11"/>
  <c r="C16" i="11"/>
  <c r="I9" i="25"/>
  <c r="I7" i="25" s="1"/>
  <c r="P4" i="30"/>
  <c r="D2" i="30"/>
  <c r="P14" i="10"/>
  <c r="E2" i="30" l="1"/>
  <c r="F2" i="30" s="1"/>
  <c r="G2" i="30" s="1"/>
  <c r="H2" i="30" s="1"/>
  <c r="I2" i="30" s="1"/>
  <c r="J2" i="30" s="1"/>
  <c r="K2" i="30" s="1"/>
  <c r="L2" i="30" s="1"/>
  <c r="M2" i="30" s="1"/>
  <c r="N2" i="30" s="1"/>
  <c r="K10" i="25"/>
  <c r="K7" i="25" l="1"/>
  <c r="K28" i="25" l="1"/>
  <c r="D3" i="10"/>
  <c r="D18" i="10" s="1"/>
  <c r="K26" i="25" l="1"/>
  <c r="K30" i="25" s="1"/>
  <c r="Y21" i="28"/>
  <c r="E3" i="10" l="1"/>
  <c r="E18" i="10" l="1"/>
  <c r="F3" i="10" s="1"/>
  <c r="F18" i="10" s="1"/>
  <c r="G3" i="10" s="1"/>
  <c r="G18" i="10" s="1"/>
  <c r="H3" i="10" l="1"/>
  <c r="H18" i="10" s="1"/>
  <c r="I3" i="10" l="1"/>
  <c r="I18" i="10" s="1"/>
  <c r="J3" i="10" l="1"/>
  <c r="J18" i="10" s="1"/>
  <c r="K3" i="10" l="1"/>
  <c r="K18" i="10" s="1"/>
  <c r="L3" i="10" l="1"/>
  <c r="L18" i="10" s="1"/>
  <c r="M3" i="10" l="1"/>
  <c r="M18" i="10" s="1"/>
  <c r="N3" i="10" l="1"/>
  <c r="N18" i="10" s="1"/>
  <c r="P3" i="10" l="1"/>
  <c r="P18" i="10" s="1"/>
  <c r="I13" i="29" l="1"/>
  <c r="J18" i="29" s="1"/>
  <c r="C19" i="10"/>
  <c r="B3" i="45"/>
  <c r="C2" i="19"/>
  <c r="I6" i="29"/>
  <c r="I30" i="25" l="1"/>
  <c r="J58" i="25" s="1"/>
  <c r="I4" i="28"/>
  <c r="N7" i="25"/>
  <c r="N30" i="25" s="1"/>
  <c r="C39" i="29" l="1"/>
  <c r="E39" i="29" s="1"/>
  <c r="C33" i="29"/>
  <c r="E33" i="29" s="1"/>
  <c r="G3" i="22"/>
  <c r="D3" i="19"/>
  <c r="C18" i="29"/>
  <c r="E18" i="29" s="1"/>
  <c r="C34" i="29"/>
  <c r="E34" i="29" s="1"/>
  <c r="H3" i="22"/>
  <c r="C35" i="29"/>
  <c r="E35" i="29" s="1"/>
  <c r="I3" i="22"/>
  <c r="I3" i="19"/>
  <c r="C23" i="29"/>
  <c r="E23" i="29" s="1"/>
  <c r="F3" i="22"/>
  <c r="C32" i="29"/>
  <c r="E32" i="29" s="1"/>
  <c r="C38" i="29"/>
  <c r="E38" i="29" s="1"/>
  <c r="L3" i="22"/>
  <c r="N3" i="19"/>
  <c r="C28" i="29"/>
  <c r="E28" i="29" s="1"/>
  <c r="C37" i="29"/>
  <c r="E37" i="29" s="1"/>
  <c r="K3" i="22"/>
  <c r="M3" i="19"/>
  <c r="C27" i="29"/>
  <c r="E27" i="29" s="1"/>
  <c r="C20" i="29"/>
  <c r="E20" i="29" s="1"/>
  <c r="F3" i="19"/>
  <c r="L3" i="19"/>
  <c r="C26" i="29"/>
  <c r="E26" i="29" s="1"/>
  <c r="C30" i="29"/>
  <c r="E30" i="29" s="1"/>
  <c r="D3" i="22"/>
  <c r="C36" i="29"/>
  <c r="E36" i="29" s="1"/>
  <c r="J3" i="22"/>
  <c r="C40" i="29"/>
  <c r="E40" i="29" s="1"/>
  <c r="N3" i="22"/>
  <c r="C21" i="29"/>
  <c r="E21" i="29" s="1"/>
  <c r="G3" i="19"/>
  <c r="K3" i="19"/>
  <c r="C25" i="29"/>
  <c r="E25" i="29" s="1"/>
  <c r="E3" i="19"/>
  <c r="C19" i="29"/>
  <c r="E19" i="29" s="1"/>
  <c r="E3" i="22"/>
  <c r="C31" i="29"/>
  <c r="E31" i="29" s="1"/>
  <c r="H3" i="19"/>
  <c r="C22" i="29"/>
  <c r="E22" i="29" s="1"/>
  <c r="M3" i="22" l="1"/>
  <c r="M5" i="22" s="1"/>
  <c r="D4" i="19"/>
  <c r="D5" i="19"/>
  <c r="N4" i="19"/>
  <c r="E6" i="28" s="1"/>
  <c r="E10" i="28" s="1"/>
  <c r="F10" i="28" s="1"/>
  <c r="N5" i="19"/>
  <c r="E5" i="28" s="1"/>
  <c r="I4" i="19"/>
  <c r="I5" i="19"/>
  <c r="C3" i="19"/>
  <c r="C17" i="29"/>
  <c r="E17" i="29" s="1"/>
  <c r="F17" i="29" s="1"/>
  <c r="F18" i="29" s="1"/>
  <c r="F19" i="29" s="1"/>
  <c r="F20" i="29" s="1"/>
  <c r="F21" i="29" s="1"/>
  <c r="F22" i="29" s="1"/>
  <c r="F23" i="29" s="1"/>
  <c r="M4" i="19"/>
  <c r="M5" i="19"/>
  <c r="C29" i="29"/>
  <c r="E29" i="29" s="1"/>
  <c r="C3" i="22"/>
  <c r="J3" i="19"/>
  <c r="C24" i="29"/>
  <c r="E24" i="29" s="1"/>
  <c r="N4" i="22"/>
  <c r="N5" i="22"/>
  <c r="F4" i="19"/>
  <c r="F5" i="19"/>
  <c r="L4" i="22"/>
  <c r="L5" i="22"/>
  <c r="G4" i="22"/>
  <c r="G5" i="22"/>
  <c r="E5" i="19"/>
  <c r="E4" i="19"/>
  <c r="F5" i="22"/>
  <c r="F4" i="22"/>
  <c r="I4" i="22"/>
  <c r="I5" i="22"/>
  <c r="K4" i="19"/>
  <c r="K5" i="19"/>
  <c r="E4" i="22"/>
  <c r="E5" i="22"/>
  <c r="L5" i="19"/>
  <c r="L4" i="19"/>
  <c r="H4" i="22"/>
  <c r="H5" i="22"/>
  <c r="D5" i="22"/>
  <c r="D4" i="22"/>
  <c r="J4" i="22"/>
  <c r="J5" i="22"/>
  <c r="H5" i="19"/>
  <c r="H4" i="19"/>
  <c r="G4" i="19"/>
  <c r="G5" i="19"/>
  <c r="K5" i="22"/>
  <c r="K4" i="22"/>
  <c r="M4" i="22" l="1"/>
  <c r="E2" i="11"/>
  <c r="E6" i="11" s="1"/>
  <c r="J4" i="19"/>
  <c r="J5" i="19"/>
  <c r="D2" i="11"/>
  <c r="D6" i="11" s="1"/>
  <c r="F24" i="29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C5" i="22"/>
  <c r="P5" i="22" s="1"/>
  <c r="C4" i="22"/>
  <c r="P4" i="22" s="1"/>
  <c r="P3" i="22"/>
  <c r="C5" i="19"/>
  <c r="P3" i="19"/>
  <c r="Q3" i="30" s="1"/>
  <c r="C4" i="19"/>
  <c r="J22" i="28"/>
  <c r="J23" i="28" s="1"/>
  <c r="B22" i="22" l="1"/>
  <c r="C45" i="11"/>
  <c r="C38" i="11"/>
  <c r="C36" i="11"/>
  <c r="C46" i="11"/>
  <c r="C40" i="11"/>
  <c r="C42" i="11"/>
  <c r="C44" i="11"/>
  <c r="C39" i="11"/>
  <c r="C37" i="11"/>
  <c r="C41" i="11"/>
  <c r="C43" i="11"/>
  <c r="C35" i="11"/>
  <c r="B22" i="19"/>
  <c r="C24" i="11"/>
  <c r="C26" i="11"/>
  <c r="C31" i="11"/>
  <c r="C28" i="11"/>
  <c r="C33" i="11"/>
  <c r="C32" i="11"/>
  <c r="C27" i="11"/>
  <c r="C25" i="11"/>
  <c r="C29" i="11"/>
  <c r="C34" i="11"/>
  <c r="C23" i="11"/>
  <c r="C30" i="11"/>
  <c r="D5" i="28"/>
  <c r="F5" i="28" s="1"/>
  <c r="P5" i="19"/>
  <c r="Q5" i="30" s="1"/>
  <c r="F2" i="11"/>
  <c r="F6" i="11" s="1"/>
  <c r="G2" i="11"/>
  <c r="G6" i="11" s="1"/>
  <c r="B22" i="37" s="1"/>
  <c r="D6" i="28"/>
  <c r="F6" i="28" s="1"/>
  <c r="P4" i="19"/>
  <c r="Q4" i="30" s="1"/>
  <c r="C69" i="11" l="1"/>
  <c r="C60" i="11"/>
  <c r="C63" i="11"/>
  <c r="B22" i="36"/>
  <c r="C48" i="11"/>
  <c r="C58" i="11"/>
  <c r="C50" i="11"/>
  <c r="C51" i="11"/>
  <c r="C57" i="11"/>
  <c r="C55" i="11"/>
  <c r="C53" i="11"/>
  <c r="C56" i="11"/>
  <c r="C52" i="11"/>
  <c r="C54" i="11"/>
  <c r="C49" i="11"/>
  <c r="C66" i="11"/>
  <c r="C59" i="11"/>
  <c r="L22" i="22"/>
  <c r="L21" i="22" s="1"/>
  <c r="L20" i="22" s="1"/>
  <c r="L6" i="22" s="1"/>
  <c r="J22" i="22"/>
  <c r="J21" i="22" s="1"/>
  <c r="J20" i="22" s="1"/>
  <c r="J6" i="22" s="1"/>
  <c r="I22" i="22"/>
  <c r="I21" i="22" s="1"/>
  <c r="I20" i="22" s="1"/>
  <c r="I6" i="22" s="1"/>
  <c r="D22" i="22"/>
  <c r="D21" i="22" s="1"/>
  <c r="D20" i="22" s="1"/>
  <c r="D6" i="22" s="1"/>
  <c r="M22" i="22"/>
  <c r="M21" i="22" s="1"/>
  <c r="M20" i="22" s="1"/>
  <c r="M6" i="22" s="1"/>
  <c r="N22" i="22"/>
  <c r="N21" i="22" s="1"/>
  <c r="N20" i="22" s="1"/>
  <c r="N6" i="22" s="1"/>
  <c r="F22" i="22"/>
  <c r="F21" i="22" s="1"/>
  <c r="F20" i="22" s="1"/>
  <c r="F6" i="22" s="1"/>
  <c r="K22" i="22"/>
  <c r="K21" i="22" s="1"/>
  <c r="K20" i="22" s="1"/>
  <c r="K6" i="22" s="1"/>
  <c r="G22" i="22"/>
  <c r="G21" i="22" s="1"/>
  <c r="G20" i="22" s="1"/>
  <c r="G6" i="22" s="1"/>
  <c r="H22" i="22"/>
  <c r="H21" i="22" s="1"/>
  <c r="H20" i="22" s="1"/>
  <c r="H6" i="22" s="1"/>
  <c r="E22" i="22"/>
  <c r="E21" i="22" s="1"/>
  <c r="E20" i="22" s="1"/>
  <c r="E6" i="22" s="1"/>
  <c r="C22" i="22"/>
  <c r="I5" i="28"/>
  <c r="F4" i="28"/>
  <c r="J32" i="28"/>
  <c r="C64" i="11"/>
  <c r="N22" i="19"/>
  <c r="N21" i="19" s="1"/>
  <c r="N20" i="19" s="1"/>
  <c r="N6" i="19" s="1"/>
  <c r="L22" i="19"/>
  <c r="L21" i="19" s="1"/>
  <c r="L20" i="19" s="1"/>
  <c r="L6" i="19" s="1"/>
  <c r="D22" i="19"/>
  <c r="D21" i="19" s="1"/>
  <c r="D20" i="19" s="1"/>
  <c r="D6" i="19" s="1"/>
  <c r="E22" i="19"/>
  <c r="E21" i="19" s="1"/>
  <c r="E20" i="19" s="1"/>
  <c r="E6" i="19" s="1"/>
  <c r="K22" i="19"/>
  <c r="K21" i="19" s="1"/>
  <c r="K20" i="19" s="1"/>
  <c r="K6" i="19" s="1"/>
  <c r="M22" i="19"/>
  <c r="M21" i="19" s="1"/>
  <c r="M20" i="19" s="1"/>
  <c r="M6" i="19" s="1"/>
  <c r="G22" i="19"/>
  <c r="G21" i="19" s="1"/>
  <c r="G20" i="19" s="1"/>
  <c r="G6" i="19" s="1"/>
  <c r="H22" i="19"/>
  <c r="H21" i="19" s="1"/>
  <c r="H20" i="19" s="1"/>
  <c r="H6" i="19" s="1"/>
  <c r="F22" i="19"/>
  <c r="F21" i="19" s="1"/>
  <c r="F20" i="19" s="1"/>
  <c r="F6" i="19" s="1"/>
  <c r="I22" i="19"/>
  <c r="I21" i="19" s="1"/>
  <c r="I20" i="19" s="1"/>
  <c r="I6" i="19" s="1"/>
  <c r="J22" i="19"/>
  <c r="J21" i="19" s="1"/>
  <c r="J20" i="19" s="1"/>
  <c r="J6" i="19" s="1"/>
  <c r="C22" i="19"/>
  <c r="C68" i="11"/>
  <c r="C70" i="11"/>
  <c r="C61" i="11"/>
  <c r="X13" i="28"/>
  <c r="X14" i="28" s="1"/>
  <c r="J33" i="28"/>
  <c r="C47" i="11"/>
  <c r="C65" i="11"/>
  <c r="C62" i="11"/>
  <c r="C67" i="11"/>
  <c r="P22" i="19" l="1"/>
  <c r="F9" i="28" s="1"/>
  <c r="C21" i="19"/>
  <c r="P22" i="22"/>
  <c r="C21" i="22"/>
  <c r="C20" i="22" l="1"/>
  <c r="P21" i="22"/>
  <c r="J5" i="28"/>
  <c r="I14" i="28" s="1"/>
  <c r="F8" i="28"/>
  <c r="C20" i="19"/>
  <c r="P21" i="19"/>
  <c r="C6" i="22" l="1"/>
  <c r="P20" i="22"/>
  <c r="C6" i="19"/>
  <c r="P20" i="19"/>
  <c r="I32" i="28"/>
  <c r="J44" i="28" s="1"/>
  <c r="I44" i="28" s="1"/>
  <c r="Y22" i="28" s="1"/>
  <c r="Y23" i="28" s="1"/>
  <c r="P28" i="25" s="1"/>
  <c r="P26" i="25" s="1"/>
  <c r="P30" i="25" s="1"/>
  <c r="O58" i="25" s="1"/>
  <c r="P6" i="19" l="1"/>
  <c r="C33" i="19"/>
  <c r="D2" i="19" s="1"/>
  <c r="D33" i="19" s="1"/>
  <c r="E2" i="19" s="1"/>
  <c r="E33" i="19" s="1"/>
  <c r="F2" i="19" s="1"/>
  <c r="F33" i="19" s="1"/>
  <c r="G2" i="19" s="1"/>
  <c r="G33" i="19" s="1"/>
  <c r="H2" i="19" s="1"/>
  <c r="H33" i="19" s="1"/>
  <c r="I2" i="19" s="1"/>
  <c r="I33" i="19" s="1"/>
  <c r="J2" i="19" s="1"/>
  <c r="J33" i="19" s="1"/>
  <c r="K2" i="19" s="1"/>
  <c r="K33" i="19" s="1"/>
  <c r="L2" i="19" s="1"/>
  <c r="L33" i="19" s="1"/>
  <c r="M2" i="19" s="1"/>
  <c r="M33" i="19" s="1"/>
  <c r="N2" i="19" s="1"/>
  <c r="P6" i="22"/>
  <c r="P2" i="19" l="1"/>
  <c r="Q2" i="30" s="1"/>
  <c r="N33" i="19"/>
  <c r="C34" i="19" s="1"/>
  <c r="P33" i="19" l="1"/>
  <c r="C2" i="22"/>
  <c r="C33" i="22" s="1"/>
  <c r="D2" i="22" s="1"/>
  <c r="D33" i="22" s="1"/>
  <c r="E2" i="22" s="1"/>
  <c r="E33" i="22" s="1"/>
  <c r="F2" i="22" s="1"/>
  <c r="F33" i="22" s="1"/>
  <c r="G2" i="22" s="1"/>
  <c r="G33" i="22" s="1"/>
  <c r="H2" i="22" s="1"/>
  <c r="H33" i="22" s="1"/>
  <c r="I2" i="22" s="1"/>
  <c r="I33" i="22" s="1"/>
  <c r="J2" i="22" s="1"/>
  <c r="J33" i="22" s="1"/>
  <c r="K2" i="22" s="1"/>
  <c r="K33" i="22" s="1"/>
  <c r="L2" i="22" s="1"/>
  <c r="L33" i="22" s="1"/>
  <c r="M2" i="22" s="1"/>
  <c r="M33" i="22" s="1"/>
  <c r="N2" i="22" s="1"/>
  <c r="J13" i="29"/>
  <c r="J6" i="29"/>
  <c r="P2" i="22" l="1"/>
  <c r="N33" i="22"/>
  <c r="K18" i="29"/>
  <c r="C2" i="37"/>
  <c r="C33" i="37" s="1"/>
  <c r="D2" i="37" s="1"/>
  <c r="D33" i="37" s="1"/>
  <c r="E2" i="37" s="1"/>
  <c r="E33" i="37" s="1"/>
  <c r="F2" i="37" s="1"/>
  <c r="F33" i="37" s="1"/>
  <c r="G2" i="37" s="1"/>
  <c r="G33" i="37" s="1"/>
  <c r="H2" i="37" s="1"/>
  <c r="H33" i="37" s="1"/>
  <c r="I2" i="37" s="1"/>
  <c r="I33" i="37" s="1"/>
  <c r="J2" i="37" s="1"/>
  <c r="J33" i="37" s="1"/>
  <c r="K2" i="37" s="1"/>
  <c r="K33" i="37" s="1"/>
  <c r="L2" i="37" s="1"/>
  <c r="L33" i="37" s="1"/>
  <c r="M2" i="37" s="1"/>
  <c r="M33" i="37" s="1"/>
  <c r="N2" i="37" s="1"/>
  <c r="C2" i="36"/>
  <c r="C34" i="36" s="1"/>
  <c r="D2" i="36" s="1"/>
  <c r="D34" i="36" s="1"/>
  <c r="E2" i="36" s="1"/>
  <c r="E34" i="36" s="1"/>
  <c r="F2" i="36" s="1"/>
  <c r="F34" i="36" s="1"/>
  <c r="G2" i="36" s="1"/>
  <c r="G34" i="36" s="1"/>
  <c r="H2" i="36" s="1"/>
  <c r="H34" i="36" s="1"/>
  <c r="I2" i="36" s="1"/>
  <c r="I34" i="36" s="1"/>
  <c r="J2" i="36" s="1"/>
  <c r="J34" i="36" s="1"/>
  <c r="K2" i="36" s="1"/>
  <c r="K34" i="36" s="1"/>
  <c r="L2" i="36" s="1"/>
  <c r="L34" i="36" s="1"/>
  <c r="M2" i="36" s="1"/>
  <c r="M34" i="36" s="1"/>
  <c r="N2" i="36" s="1"/>
  <c r="P33" i="22" l="1"/>
  <c r="K6" i="29" s="1"/>
  <c r="K13" i="29" s="1"/>
  <c r="I14" i="29" s="1"/>
  <c r="C34" i="22"/>
  <c r="I7" i="29"/>
  <c r="N34" i="36"/>
  <c r="P34" i="36" s="1"/>
  <c r="P2" i="36"/>
  <c r="N33" i="37"/>
  <c r="P33" i="37" s="1"/>
  <c r="P2" i="37"/>
  <c r="L18" i="29" l="1"/>
  <c r="M18" i="29" s="1"/>
</calcChain>
</file>

<file path=xl/sharedStrings.xml><?xml version="1.0" encoding="utf-8"?>
<sst xmlns="http://schemas.openxmlformats.org/spreadsheetml/2006/main" count="1439" uniqueCount="503">
  <si>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</si>
  <si>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</si>
  <si>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</si>
  <si>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</si>
  <si>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</si>
  <si>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</si>
  <si>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</si>
  <si>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</si>
  <si>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</si>
  <si>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</si>
  <si>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</si>
  <si>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</si>
  <si>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</si>
  <si>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</si>
  <si>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Receita Mensal</t>
  </si>
  <si>
    <t>Inflação</t>
  </si>
  <si>
    <t>Crescimento a.a.</t>
  </si>
  <si>
    <t>Receita Total</t>
  </si>
  <si>
    <t>Custo</t>
  </si>
  <si>
    <t>Qtd</t>
  </si>
  <si>
    <t>Item</t>
  </si>
  <si>
    <t>Preço</t>
  </si>
  <si>
    <t>TOTAL</t>
  </si>
  <si>
    <t>Salário</t>
  </si>
  <si>
    <t>INSS</t>
  </si>
  <si>
    <t>Parcela</t>
  </si>
  <si>
    <t>ANO 01</t>
  </si>
  <si>
    <t>ANO 02</t>
  </si>
  <si>
    <t>ANO 03</t>
  </si>
  <si>
    <t>Capital de giro</t>
  </si>
  <si>
    <t>1º Trimestre</t>
  </si>
  <si>
    <t>2º Trimestre</t>
  </si>
  <si>
    <t>3º Trimestre</t>
  </si>
  <si>
    <t>4º Trimestre</t>
  </si>
  <si>
    <t>Evento</t>
  </si>
  <si>
    <t>Produto 1</t>
  </si>
  <si>
    <t>Produto 2</t>
  </si>
  <si>
    <t>Produto 3</t>
  </si>
  <si>
    <t>Produto 4</t>
  </si>
  <si>
    <t>Produto 5</t>
  </si>
  <si>
    <t>Saldo Inicial do Mês</t>
  </si>
  <si>
    <t>FATURAMENTO</t>
  </si>
  <si>
    <t>Receitas à Vista</t>
  </si>
  <si>
    <t>Total Custo/Despesa</t>
  </si>
  <si>
    <t>Custo Total</t>
  </si>
  <si>
    <t>Custo Fixo</t>
  </si>
  <si>
    <t>Custo Variável</t>
  </si>
  <si>
    <t>Total Despesas</t>
  </si>
  <si>
    <t>Despesas com Vendas Variáveis</t>
  </si>
  <si>
    <t>Comissão sobre Vendas</t>
  </si>
  <si>
    <t>Despesas Comerciais Fixas</t>
  </si>
  <si>
    <t>Despesa Administrativa Variável</t>
  </si>
  <si>
    <t>Despesas Administrativas Fixas</t>
  </si>
  <si>
    <t>Saldo de Caixa</t>
  </si>
  <si>
    <t>Simples</t>
  </si>
  <si>
    <t>Ano 1</t>
  </si>
  <si>
    <t>Ano 2</t>
  </si>
  <si>
    <t>Ano 3</t>
  </si>
  <si>
    <t>Faturamento Anual</t>
  </si>
  <si>
    <t xml:space="preserve">Alíquota </t>
  </si>
  <si>
    <t>Dedução</t>
  </si>
  <si>
    <t>Alíquota Simples</t>
  </si>
  <si>
    <t>Pagamentos de Simples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</si>
  <si>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</si>
  <si>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</si>
  <si>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</si>
  <si>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</si>
  <si>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</si>
  <si>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</si>
  <si>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</si>
  <si>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</si>
  <si>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</si>
  <si>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</si>
  <si>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</si>
  <si>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</si>
  <si>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Bebedouro</t>
  </si>
  <si>
    <t>Microondas</t>
  </si>
  <si>
    <t>Cafeteira</t>
  </si>
  <si>
    <t>Ar Condicionado</t>
  </si>
  <si>
    <t>Frigobar</t>
  </si>
  <si>
    <t>impressora pequena</t>
  </si>
  <si>
    <t>notebooks</t>
  </si>
  <si>
    <t>modem roteador</t>
  </si>
  <si>
    <t>estabilizador</t>
  </si>
  <si>
    <t>nobreak</t>
  </si>
  <si>
    <t>Caixa de caneta estereográfica bic</t>
  </si>
  <si>
    <t>Mesa em forma de ilha</t>
  </si>
  <si>
    <t>Cadeiras giratórias</t>
  </si>
  <si>
    <t>Armário para documentos</t>
  </si>
  <si>
    <t>mesas p/refeitório com cadeiras</t>
  </si>
  <si>
    <t>cadeira simples (auditório sala de reunião)</t>
  </si>
  <si>
    <t>Sofá Recepção</t>
  </si>
  <si>
    <t>Lixeira</t>
  </si>
  <si>
    <t>Preço Venda Medio</t>
  </si>
  <si>
    <t>Custo Médio</t>
  </si>
  <si>
    <t>Preço Venda</t>
  </si>
  <si>
    <t>Veículos</t>
  </si>
  <si>
    <t xml:space="preserve">Receitas a Prazo </t>
  </si>
  <si>
    <t>Preços médios totais da instalação de placa solar e equipamento</t>
  </si>
  <si>
    <t>Qual o valor de um sistema de energia solar fotovoltaico residencial?</t>
  </si>
  <si>
    <t>Gerador Solar de 1,725kWp</t>
  </si>
  <si>
    <t>Preço médio do serviço de Instalação: R$ 3.396,60</t>
  </si>
  <si>
    <t>Cada sistema pode ter um rendimento diferente dependendo do local de instalação, na planilha abaixo estamos considerando uma média de insolação sendo de 4,5 HSP e uma média de perdas sendo de 20 %, com isso chegamos nos valores de geração e consequentemente a média de consumo que cada sistema atende.</t>
  </si>
  <si>
    <t>O custo do projeto completo de um sistema de energia solar fotovoltaica residencial (inclusos instalação e materiais) é de, aproximadamente, R$12.801,60, considerando a utilização de um gerador de 1,73 kWp instalado em uma residência com o consumo médio mensal de 186,3 kWh.</t>
  </si>
  <si>
    <t>Fórmula de Cálculo Valor de Instalação</t>
  </si>
  <si>
    <t>A grande variação de preço entre os fornecedores é relacionada à qualidade dos componentes utilizados, o tamanho da empresa (empresas maiores têm mais poder de compra e compram mais barato) e a comp</t>
  </si>
  <si>
    <t>1,72*3396,60/1,725</t>
  </si>
  <si>
    <r>
      <t>Serviço de instalação: Projeto, Instalação e Homologação junto a distribuidora</t>
    </r>
    <r>
      <rPr>
        <sz val="7"/>
        <color rgb="FF212529"/>
        <rFont val="Arial"/>
        <family val="2"/>
      </rPr>
      <t> </t>
    </r>
    <r>
      <rPr>
        <sz val="7"/>
        <color rgb="FF333333"/>
        <rFont val="Arial"/>
        <family val="2"/>
      </rPr>
      <t>Para você produzir energia solar será necessário contratar os serviços de um profissional/empresa especializado na instalação do gerador de energia solar. Esse profissional/empresa precisa ter um engenheiro responsável para fazer o projeto e submeter a documentação junto a distribuidora de energia para que o gerador seja homologado seguindo a lei. Além disso, esse profissional será responsável pela parte mais difícil de todo o processo: Subir no telhado e fazer a fixação dos painéis solares, além de conectar o gerador na rede da sua casa, observando todos os padrões de segurança e normas vigentes.</t>
    </r>
  </si>
  <si>
    <t>https://www.portalsolar.com.br/quanto-custa-para-instalar-energia-solar.html#:~:text=Pre%C3%A7o%20da%20instala%C3%A7%C3%A3o%20de%20sistemas,de%20R%24%2010.323%2C00.</t>
  </si>
  <si>
    <t>https://www.portalsolar.com.br/painel-solar-precos-custos-de-instalacao.html#:~:text=O%20custo%20do%20projeto%20completo,mensal%20de%20186%2C3%20kWh.</t>
  </si>
  <si>
    <t>Preço Médio - Instalação</t>
  </si>
  <si>
    <t>Potência do gerador solar</t>
  </si>
  <si>
    <t>Preço médio</t>
  </si>
  <si>
    <t>Consumo médio mensal</t>
  </si>
  <si>
    <t>Custos de Materiais</t>
  </si>
  <si>
    <t>Instalação</t>
  </si>
  <si>
    <t>Custos Do Projeto</t>
  </si>
  <si>
    <t>M.O Instalação</t>
  </si>
  <si>
    <t>Lucro Venda Serviço 60%</t>
  </si>
  <si>
    <t>1,72 kWp</t>
  </si>
  <si>
    <t>186,3 kWh</t>
  </si>
  <si>
    <t>2,41 kWp</t>
  </si>
  <si>
    <t>298,08kWh</t>
  </si>
  <si>
    <t>3,45 kWp</t>
  </si>
  <si>
    <t>372,6kWh</t>
  </si>
  <si>
    <t>4,14 kWp</t>
  </si>
  <si>
    <t>447,12kWh</t>
  </si>
  <si>
    <t>4,83 kWp</t>
  </si>
  <si>
    <t>521,64kWh</t>
  </si>
  <si>
    <t>5,17 kWp</t>
  </si>
  <si>
    <t>558,9kWh</t>
  </si>
  <si>
    <t>6,21 kWp</t>
  </si>
  <si>
    <t>670,68kWh</t>
  </si>
  <si>
    <t>6,55 kWp</t>
  </si>
  <si>
    <t>707,94kWh</t>
  </si>
  <si>
    <t>7,59 kWp</t>
  </si>
  <si>
    <t>819,72kWh</t>
  </si>
  <si>
    <t>8,28 kWp</t>
  </si>
  <si>
    <t>894,24kWh</t>
  </si>
  <si>
    <t>9,31 kWp</t>
  </si>
  <si>
    <t>1006,02kWh</t>
  </si>
  <si>
    <t>10,69 kWp</t>
  </si>
  <si>
    <t>1155,06kWh</t>
  </si>
  <si>
    <t>12,42 kWp</t>
  </si>
  <si>
    <t>1341,36kWh</t>
  </si>
  <si>
    <t>14,49 kWp</t>
  </si>
  <si>
    <t>1564,92kWh</t>
  </si>
  <si>
    <t>Preço do projeto de energia solar fotovoltaica para residências</t>
  </si>
  <si>
    <t>O preço de um projeto fotovoltaico residencial é de, aproximadamente, R$ 12.800,00 a R$ 57.000,00. O valor varia de acordo com o fornecedor, tamanho do projeto e modelo dos equipamentos utilizados.</t>
  </si>
  <si>
    <t>Potência do Sistema</t>
  </si>
  <si>
    <t>Preço Médio</t>
  </si>
  <si>
    <t>Consumo médio</t>
  </si>
  <si>
    <t>1,73 kWp</t>
  </si>
  <si>
    <t>MÉDIO</t>
  </si>
  <si>
    <t>Preço da energia solar fotovoltaica para Comércios</t>
  </si>
  <si>
    <t>Preço Médio (-) Instalação</t>
  </si>
  <si>
    <t>Potência do Gerador Solar (kWp)</t>
  </si>
  <si>
    <t>Preço Médio (R$)</t>
  </si>
  <si>
    <t>16,56 kWp</t>
  </si>
  <si>
    <t>18,63 kWp</t>
  </si>
  <si>
    <t>22,08 kWp</t>
  </si>
  <si>
    <t>26,22 kWp</t>
  </si>
  <si>
    <t>55,89 kWp</t>
  </si>
  <si>
    <t>69,00 kWp</t>
  </si>
  <si>
    <t>Preço da energia solar fotovoltaica para Indústrias</t>
  </si>
  <si>
    <t xml:space="preserve">Custos Do Projeto </t>
  </si>
  <si>
    <t>77,28 kWp</t>
  </si>
  <si>
    <t>102,46 kWp</t>
  </si>
  <si>
    <t>204,93 kWp</t>
  </si>
  <si>
    <t>310,50 kWp</t>
  </si>
  <si>
    <t>O custo é em torno de R$ 8 a R$ 10 mil numa construção aproximada de 140 metros”</t>
  </si>
  <si>
    <t>atual 12000</t>
  </si>
  <si>
    <t>http://g1.globo.com/sp/sao-carlos-regiao/noticia/2016/11/novos-imoveis-devem-captar-agua-da-chuva-custo-pode-chegar-r-10-mil.html</t>
  </si>
  <si>
    <t xml:space="preserve"> o valor médio é de R$ 40,23 para cada m3 em custo para a compra dos materiais, além de R$ 5.100,00 de custo para a instalação do sistema de filtragem e mão de obra do técnico da empresa para a instalação da cisterna, no modelo em PEAD, que se torna o modelo mais acessível.</t>
  </si>
  <si>
    <t>Preço de Instalação do reaproveitamento de água da chuva até 140 m²</t>
  </si>
  <si>
    <t>Preço Médio da Instalação 2020</t>
  </si>
  <si>
    <t>Preço Médio da Instalação Previsão 2021</t>
  </si>
  <si>
    <r>
      <t>Custos de Materiais m</t>
    </r>
    <r>
      <rPr>
        <b/>
        <i/>
        <sz val="10"/>
        <color theme="5"/>
        <rFont val="Arial"/>
        <family val="2"/>
      </rPr>
      <t>3</t>
    </r>
  </si>
  <si>
    <t>Custos Do Projeto 10%</t>
  </si>
  <si>
    <t>M.O Instalação 30%</t>
  </si>
  <si>
    <t>Instalação por m² construção até 140 metros</t>
  </si>
  <si>
    <t>Preço da Consultoria Personalizada e Individual</t>
  </si>
  <si>
    <t>Preço Médio Hora/Consultoria</t>
  </si>
  <si>
    <t>M.O Consultoria 20%</t>
  </si>
  <si>
    <t>Lucro Venda Serviço 80%</t>
  </si>
  <si>
    <t>Hora Consultoria Personalizada</t>
  </si>
  <si>
    <t>Preço da Assistência Técnica</t>
  </si>
  <si>
    <t>Preço Médio Hora/Assistência</t>
  </si>
  <si>
    <t>M.O Assistência 20%</t>
  </si>
  <si>
    <t>Custo de Assessoria</t>
  </si>
  <si>
    <t>Material de manutenção/limpeza/higiene</t>
  </si>
  <si>
    <t>M.O c/impostos</t>
  </si>
  <si>
    <t>Vr Instalação</t>
  </si>
  <si>
    <t>Vr. Serviço</t>
  </si>
  <si>
    <t>Custo M.Obra/Projeto</t>
  </si>
  <si>
    <t>Custo Materiais</t>
  </si>
  <si>
    <t>Custo M.O</t>
  </si>
  <si>
    <t>Fornecedores</t>
  </si>
  <si>
    <t>Combustível</t>
  </si>
  <si>
    <t>Produto 6</t>
  </si>
  <si>
    <t>Empresa de Pequeno Porte (EPP): de 360 mil reais a 4,8 milhões de reais de faturamento nos últimos 12 meses.</t>
  </si>
  <si>
    <t>ANEXO IV DA LC nº 123/2006</t>
  </si>
  <si>
    <t> alíquota efetiva é o resultado de:     RBT12 x Aliq – PD, em que:</t>
  </si>
  <si>
    <t>RTB12</t>
  </si>
  <si>
    <t xml:space="preserve">ALIQUOTA </t>
  </si>
  <si>
    <t>RBT12</t>
  </si>
  <si>
    <t>PD</t>
  </si>
  <si>
    <t>1. a) RBT12: receita bruta acumulada nos doze meses anteriores ao período de apuração;</t>
  </si>
  <si>
    <t>2. b) Aliq: alíquota nominal constante dos Anexos I a V da LC 123/06;</t>
  </si>
  <si>
    <t>3. c) PD: parcela a deduzir constante dos Anexos I a V da LC 123/06.</t>
  </si>
  <si>
    <t>Exemplo:</t>
  </si>
  <si>
    <t>3. a) faturamento acumulado nos 12 meses anteriores R$ 3.000.000,00 (5ª faixa = 22,00% de alíquota nominal)</t>
  </si>
  <si>
    <t>4. b) faturamento do mês de janeiro/2018 R$ 100.000,00</t>
  </si>
  <si>
    <t>Alíquota efetiva = (3.000.000,00 × 22,00% – 183.780,00) / 3.000.000,00</t>
  </si>
  <si>
    <t>Alíquota efetiva = 0,1587 (15,87%)</t>
  </si>
  <si>
    <t>Valor do DAS = R$ 100.000,00 x 15,87% = R$ 15.870,00</t>
  </si>
  <si>
    <t>eceita bruta total em 12 meses</t>
  </si>
  <si>
    <t>Alíquota</t>
  </si>
  <si>
    <t>Quanto descontar do valor recolhido</t>
  </si>
  <si>
    <t>De R$ 360.000,01 a R$ 720.000,00</t>
  </si>
  <si>
    <t>De R$ 720.000,01 a R$ 1.800.000,00</t>
  </si>
  <si>
    <t>De R$ 1.800.000,01 a R$ 3.600.000,00</t>
  </si>
  <si>
    <t>De R$ 3.600.000,01 a R$ 4.800.000,00</t>
  </si>
  <si>
    <t>https://www.contabilix.com.br/contabilidade-online/anexo-5-do-simples-nacional/</t>
  </si>
  <si>
    <t>https://www.jornalcontabil.com.br/calculo-do-simples-nacional-2020/</t>
  </si>
  <si>
    <t>Depreciação</t>
  </si>
  <si>
    <t>DRE</t>
  </si>
  <si>
    <t>Custos Fixos</t>
  </si>
  <si>
    <t>Custos Variáveis</t>
  </si>
  <si>
    <t>Inicial</t>
  </si>
  <si>
    <t>Balanço Patrimonial</t>
  </si>
  <si>
    <t>Ativo</t>
  </si>
  <si>
    <t>Passivo</t>
  </si>
  <si>
    <t>ATIVO CIRCULANTE</t>
  </si>
  <si>
    <t>PASSIVO CIRCULANTE</t>
  </si>
  <si>
    <t>Caixa</t>
  </si>
  <si>
    <t>Salários e encargos sociais</t>
  </si>
  <si>
    <t>Clientes</t>
  </si>
  <si>
    <t>(Provisão para Devedores Duvidosos)</t>
  </si>
  <si>
    <t>Matéria Prima</t>
  </si>
  <si>
    <t>Aluguel</t>
  </si>
  <si>
    <t>Telefone/Internet</t>
  </si>
  <si>
    <t>Terceirização</t>
  </si>
  <si>
    <t>Frete</t>
  </si>
  <si>
    <t>Energia Elétrica</t>
  </si>
  <si>
    <t>Prolabore</t>
  </si>
  <si>
    <t>Outras Contas</t>
  </si>
  <si>
    <t>ATIVO NÃO CIRCULANTE</t>
  </si>
  <si>
    <t>Imobilizado</t>
  </si>
  <si>
    <t>PASSIVO NÃO CIRCULANTE</t>
  </si>
  <si>
    <t>Máquinas e Equipamentos</t>
  </si>
  <si>
    <t>Financiamentos a Longo Prazo</t>
  </si>
  <si>
    <t>Móveis e Utensílios</t>
  </si>
  <si>
    <t>Obras Civis</t>
  </si>
  <si>
    <t>PATRIMÔNIO LÍQUIDO</t>
  </si>
  <si>
    <t>(Depreciação das Máquinas e Equip.)</t>
  </si>
  <si>
    <t>Capital Social</t>
  </si>
  <si>
    <t>(Depreciação dos Móveis e Utens.)</t>
  </si>
  <si>
    <t>Lucro/Prejuízo</t>
  </si>
  <si>
    <t>Total do Ativo</t>
  </si>
  <si>
    <t>Total Passivo</t>
  </si>
  <si>
    <t>Provisão para Devedores Duvidosos</t>
  </si>
  <si>
    <t>ICMS</t>
  </si>
  <si>
    <t>IRPJ</t>
  </si>
  <si>
    <t>PIS, COFINS, ICSLL</t>
  </si>
  <si>
    <t>Depreciação das Máquinas e Equip.</t>
  </si>
  <si>
    <t>Depreciação dos Móveis e Utens.</t>
  </si>
  <si>
    <t>Investimento Inicial</t>
  </si>
  <si>
    <t>N</t>
  </si>
  <si>
    <t>Moveis e Utens.</t>
  </si>
  <si>
    <t>Emprestimento</t>
  </si>
  <si>
    <t>Emprestimos</t>
  </si>
  <si>
    <t>Contas Patrimoniais (BP)</t>
  </si>
  <si>
    <t>JAN-NOV</t>
  </si>
  <si>
    <t>DEZ</t>
  </si>
  <si>
    <t>Receitas</t>
  </si>
  <si>
    <t xml:space="preserve">A Vista </t>
  </si>
  <si>
    <t>A Prazo</t>
  </si>
  <si>
    <t>Deduções e Impostos</t>
  </si>
  <si>
    <t>Devedores Duvidosos</t>
  </si>
  <si>
    <t>Depreciação Máq. E Equip.</t>
  </si>
  <si>
    <t>Depreciação Móv. e Utens.</t>
  </si>
  <si>
    <t>Lucro</t>
  </si>
  <si>
    <t>Despesa com Vendas</t>
  </si>
  <si>
    <t>Contas de Resultado (DRE)</t>
  </si>
  <si>
    <t>Despesas Comerciais</t>
  </si>
  <si>
    <t>Despesas Adm. Variaveis</t>
  </si>
  <si>
    <t>Despesas Adm. Fixas</t>
  </si>
  <si>
    <t>Eventos Ano 2</t>
  </si>
  <si>
    <t>ok</t>
  </si>
  <si>
    <t>OBS</t>
  </si>
  <si>
    <t xml:space="preserve">Os valores em </t>
  </si>
  <si>
    <t>VERDE</t>
  </si>
  <si>
    <t>são os saldos do ano anterior que devem ser considerados no ANO 2</t>
  </si>
  <si>
    <t>Pagamentos e Recebimentos</t>
  </si>
  <si>
    <t>Fornecedor</t>
  </si>
  <si>
    <t>Valor Presente Líquido</t>
  </si>
  <si>
    <t>Investimentos</t>
  </si>
  <si>
    <t>FC Ano 01</t>
  </si>
  <si>
    <t>FC Ano 02</t>
  </si>
  <si>
    <t>FC Ano 03</t>
  </si>
  <si>
    <t>FC Ano 04</t>
  </si>
  <si>
    <t>FC Ano 05</t>
  </si>
  <si>
    <t>VPL</t>
  </si>
  <si>
    <t>Taxa Interna de Retorno</t>
  </si>
  <si>
    <t>TIR</t>
  </si>
  <si>
    <t>Despesa com Marketing</t>
  </si>
  <si>
    <t>Fornecedores à prazo</t>
  </si>
  <si>
    <t>Fornecedores à vista</t>
  </si>
  <si>
    <t>Fornecedores a prazo</t>
  </si>
  <si>
    <t>M.O terceirizada c/impostos</t>
  </si>
  <si>
    <t>Fornecedores e Serviços Terceirizados</t>
  </si>
  <si>
    <t xml:space="preserve">Lucro Venda Serviço </t>
  </si>
  <si>
    <t>Lucro Venda Serviço</t>
  </si>
  <si>
    <t>M.O Consultoria 10%</t>
  </si>
  <si>
    <t>Mês Inicial</t>
  </si>
  <si>
    <t>Mês 01</t>
  </si>
  <si>
    <t>Mês 02</t>
  </si>
  <si>
    <t>Mês 03</t>
  </si>
  <si>
    <t>Mês 04</t>
  </si>
  <si>
    <t>Mês 05</t>
  </si>
  <si>
    <t>Mês 06</t>
  </si>
  <si>
    <t>Mês 07</t>
  </si>
  <si>
    <t>Mês 08</t>
  </si>
  <si>
    <t>Mês 09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</si>
  <si>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</si>
  <si>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</si>
  <si>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</si>
  <si>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</si>
  <si>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</si>
  <si>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</si>
  <si>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</si>
  <si>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</si>
  <si>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</si>
  <si>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</si>
  <si>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</si>
  <si>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</si>
  <si>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</si>
  <si>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</si>
  <si>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</si>
  <si>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Mês 25</t>
  </si>
  <si>
    <t>Mês 26</t>
  </si>
  <si>
    <t>Mês 27</t>
  </si>
  <si>
    <t>Mês 28</t>
  </si>
  <si>
    <t>Mês 29</t>
  </si>
  <si>
    <t>Mês 30</t>
  </si>
  <si>
    <t>Mês 31</t>
  </si>
  <si>
    <t>Mês 32</t>
  </si>
  <si>
    <t>Mês 33</t>
  </si>
  <si>
    <t>Mês 34</t>
  </si>
  <si>
    <t>Mês 35</t>
  </si>
  <si>
    <t>Mês 36</t>
  </si>
  <si>
    <t>QTD</t>
  </si>
  <si>
    <t>Receita Bruta</t>
  </si>
  <si>
    <t>PIS(0,65%)</t>
  </si>
  <si>
    <t>COFINS (7,60%)</t>
  </si>
  <si>
    <t>TOTAL DE IMPOSTOS</t>
  </si>
  <si>
    <t>RECEITA LÍQUIDA</t>
  </si>
  <si>
    <t>Base de Cálculo 32%</t>
  </si>
  <si>
    <t>Adicional de 10%</t>
  </si>
  <si>
    <t>IRPJ 15%</t>
  </si>
  <si>
    <t>CSLL 9%</t>
  </si>
  <si>
    <t>ISS (4%)</t>
  </si>
  <si>
    <t>Impostos</t>
  </si>
  <si>
    <t>IRPJ/CSLL</t>
  </si>
  <si>
    <t>Água</t>
  </si>
  <si>
    <t>Internet</t>
  </si>
  <si>
    <t>Telefone</t>
  </si>
  <si>
    <t>IPVA</t>
  </si>
  <si>
    <t>Contador</t>
  </si>
  <si>
    <t>Material de Escritório</t>
  </si>
  <si>
    <t>Empréstimo</t>
  </si>
  <si>
    <t>Salário + Encargos</t>
  </si>
  <si>
    <t>Fluxo de Caixa</t>
  </si>
  <si>
    <t>Descrição</t>
  </si>
  <si>
    <t>%</t>
  </si>
  <si>
    <t>Custos e Despesas Fixas</t>
  </si>
  <si>
    <t>Previsão Ano 1</t>
  </si>
  <si>
    <t>Custos e Despesas Variáveis</t>
  </si>
  <si>
    <t>ANO 04</t>
  </si>
  <si>
    <t>ANO 05</t>
  </si>
  <si>
    <t>Ano 4</t>
  </si>
  <si>
    <t>Ano 5</t>
  </si>
  <si>
    <t>Depreciação Veículo</t>
  </si>
  <si>
    <t>(Depreciação Veículos)</t>
  </si>
  <si>
    <t xml:space="preserve">Ano 1 </t>
  </si>
  <si>
    <t>check</t>
  </si>
  <si>
    <t>ANO 1</t>
  </si>
  <si>
    <t>Balanço Patrimonial Inicial da Empresa Sunlight, em 01/01/2023</t>
  </si>
  <si>
    <t>Até 3kW</t>
  </si>
  <si>
    <t>Entre 5kW e 10kW</t>
  </si>
  <si>
    <t>Até 15kW</t>
  </si>
  <si>
    <t>Demanda</t>
  </si>
  <si>
    <t>Potência</t>
  </si>
  <si>
    <t>Entre 3kW e 5kW</t>
  </si>
  <si>
    <t>Até 15 kW</t>
  </si>
  <si>
    <t>Entre 3kW e 55kW</t>
  </si>
  <si>
    <t>Instalações</t>
  </si>
  <si>
    <t>Total Lucro Instalações</t>
  </si>
  <si>
    <t>Lucro venda serviço unit</t>
  </si>
  <si>
    <t>Previsão de</t>
  </si>
  <si>
    <t xml:space="preserve">Total </t>
  </si>
  <si>
    <t>CUSTO M.O/ANO</t>
  </si>
  <si>
    <t>CUSTO M.O e Mat. /ANO</t>
  </si>
  <si>
    <t>CUSTO Materiais /ANO</t>
  </si>
  <si>
    <t>Valor Empréstimo</t>
  </si>
  <si>
    <t xml:space="preserve">Saldo </t>
  </si>
  <si>
    <t>Pró-Labore</t>
  </si>
  <si>
    <t xml:space="preserve"> Ano 3</t>
  </si>
  <si>
    <t>Pró-labore</t>
  </si>
  <si>
    <t>IRRF</t>
  </si>
  <si>
    <t>Líquido</t>
  </si>
  <si>
    <t>isento</t>
  </si>
  <si>
    <t>Referência</t>
  </si>
  <si>
    <t>Total Mensal</t>
  </si>
  <si>
    <t>Total Anual</t>
  </si>
  <si>
    <t>Energia Elétrica/água</t>
  </si>
  <si>
    <t>Duplicatas à receber</t>
  </si>
  <si>
    <t>D</t>
  </si>
  <si>
    <t>C</t>
  </si>
  <si>
    <t>ATIVO</t>
  </si>
  <si>
    <t>PASSIVO</t>
  </si>
  <si>
    <t>RECEITAS (RESULTADOS)</t>
  </si>
  <si>
    <t>Máquina e Equipamentos</t>
  </si>
  <si>
    <t>Receitas total</t>
  </si>
  <si>
    <t>Custo variável</t>
  </si>
  <si>
    <t>Despesas</t>
  </si>
  <si>
    <t>A vista</t>
  </si>
  <si>
    <t>A prazo</t>
  </si>
  <si>
    <t>Duplicatas a Receber</t>
  </si>
  <si>
    <t>Saldo das Contas</t>
  </si>
  <si>
    <t>Contas</t>
  </si>
  <si>
    <t>Débitos</t>
  </si>
  <si>
    <t>Créditos</t>
  </si>
  <si>
    <t>Balancete de verificação</t>
  </si>
  <si>
    <t>Capital Inicial</t>
  </si>
  <si>
    <t>Vendas de Serviços</t>
  </si>
  <si>
    <t>Depreciação Acumulada</t>
  </si>
  <si>
    <t>Banco C/ Movimento</t>
  </si>
  <si>
    <t>Vendas de Serviços  a Vista</t>
  </si>
  <si>
    <t>Saldo anterior</t>
  </si>
  <si>
    <t>Vendas à vista</t>
  </si>
  <si>
    <t>Saldo Inicial do Caixa</t>
  </si>
  <si>
    <t>Total de Entradas</t>
  </si>
  <si>
    <t>Total de Saídas</t>
  </si>
  <si>
    <t>(-) Custos Fixos</t>
  </si>
  <si>
    <t>(-) Custos variáveis</t>
  </si>
  <si>
    <t>Saldo Real</t>
  </si>
  <si>
    <t>(-) Despesas/Impostos</t>
  </si>
  <si>
    <t>Faturamento</t>
  </si>
  <si>
    <t>Despesas/Custo</t>
  </si>
  <si>
    <t>Acumulado</t>
  </si>
  <si>
    <t>Sócios</t>
  </si>
  <si>
    <t>Balanço Patrimonial Inicial da Empresa Sunlight, em 01/01/2022</t>
  </si>
  <si>
    <t>Balanço Patrimonial Inicial da Empresa Sunlight, em 31/12/2022</t>
  </si>
  <si>
    <t>ano1</t>
  </si>
  <si>
    <t>ano2</t>
  </si>
  <si>
    <t>ano3</t>
  </si>
  <si>
    <t>Resultado anual</t>
  </si>
  <si>
    <t>Classificação</t>
  </si>
  <si>
    <t>Consumo</t>
  </si>
  <si>
    <t>Qtde</t>
  </si>
  <si>
    <t>Valor Total</t>
  </si>
  <si>
    <t>Empregados</t>
  </si>
  <si>
    <t>Empregado 1</t>
  </si>
  <si>
    <t>Empregado 2</t>
  </si>
  <si>
    <t xml:space="preserve"> Ano 1 - mês</t>
  </si>
  <si>
    <t>Encargos - mês</t>
  </si>
  <si>
    <t>Total por mês</t>
  </si>
  <si>
    <t>IPTU</t>
  </si>
  <si>
    <t>Salários</t>
  </si>
  <si>
    <t>insumo 4</t>
  </si>
  <si>
    <t>insumo 5</t>
  </si>
  <si>
    <t>insumo 6</t>
  </si>
  <si>
    <t>insumo 7</t>
  </si>
  <si>
    <t>insumo 8</t>
  </si>
  <si>
    <t>insumo 9</t>
  </si>
  <si>
    <t>insumo 10</t>
  </si>
  <si>
    <t>Unitario</t>
  </si>
  <si>
    <t>Crescimento</t>
  </si>
  <si>
    <t>Receita por unidade</t>
  </si>
  <si>
    <t>Unidades vendidas</t>
  </si>
  <si>
    <t>Total receita/mês</t>
  </si>
  <si>
    <t>Produto/Serviço</t>
  </si>
  <si>
    <t>R$</t>
  </si>
  <si>
    <t>Impostos 15%</t>
  </si>
  <si>
    <t>Combustíveis</t>
  </si>
  <si>
    <t>Aluguel de Veículos</t>
  </si>
  <si>
    <t>Título do Negócio</t>
  </si>
  <si>
    <t>Racional do Negócio</t>
  </si>
  <si>
    <t>Componentes do Grupo</t>
  </si>
  <si>
    <t>Matricula</t>
  </si>
  <si>
    <t>Nome</t>
  </si>
  <si>
    <t>Propaganda/Marketing</t>
  </si>
  <si>
    <t>EmpréstCusto financeiro</t>
  </si>
  <si>
    <t>taxa de juros</t>
  </si>
  <si>
    <t>Despesas Financeiras</t>
  </si>
  <si>
    <t>Empregado 3</t>
  </si>
  <si>
    <t>DriveSync</t>
  </si>
  <si>
    <t>Plano Básico</t>
  </si>
  <si>
    <t>Plano Standard</t>
  </si>
  <si>
    <t>Plano Premium</t>
  </si>
  <si>
    <t>Magem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</si>
</sst>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0.0000"/>
    <numFmt numFmtId="167" formatCode="[$-416]mmmm\-yy;@"/>
    <numFmt numFmtId="168" formatCode="#,##0.00_ ;\-#,##0.00\ "/>
    <numFmt numFmtId="169" formatCode="_-&quot;R$&quot;\ * #,##0.00_-;\-&quot;R$&quot;\ * #,##0.00_-;_-&quot;R$&quot;\ * &quot;-&quot;?????????_-;_-@_-"/>
    <numFmt numFmtId="170" formatCode="&quot;R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rgb="FF212529"/>
      <name val="Arial"/>
      <family val="2"/>
    </font>
    <font>
      <b/>
      <sz val="8"/>
      <color rgb="FFFFC000"/>
      <name val="Arial"/>
      <family val="2"/>
    </font>
    <font>
      <sz val="7"/>
      <color rgb="FF212529"/>
      <name val="Arial"/>
      <family val="2"/>
    </font>
    <font>
      <b/>
      <sz val="11"/>
      <color rgb="FFFFC000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11"/>
      <color rgb="FFFFFF00"/>
      <name val="Calibri"/>
      <family val="2"/>
      <scheme val="minor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sz val="10"/>
      <color rgb="FF212529"/>
      <name val="Arial"/>
      <family val="2"/>
    </font>
    <font>
      <sz val="8"/>
      <color rgb="FF212529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  <font>
      <b/>
      <sz val="8"/>
      <color rgb="FF2125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b/>
      <sz val="10"/>
      <color rgb="FFFF9900"/>
      <name val="Arial"/>
      <family val="2"/>
    </font>
    <font>
      <b/>
      <i/>
      <sz val="10"/>
      <color theme="5"/>
      <name val="Arial"/>
      <family val="2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rgb="FF30455C"/>
      <name val="Lato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666666"/>
      <name val="Arial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rgb="FFFFC000"/>
      </left>
      <right style="mediumDashed">
        <color rgb="FFFFC000"/>
      </right>
      <top style="mediumDashed">
        <color rgb="FFFFC000"/>
      </top>
      <bottom style="mediumDashed">
        <color rgb="FFFFC000"/>
      </bottom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 style="mediumDashed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dashed">
        <color theme="4" tint="-0.499984740745262"/>
      </right>
      <top style="hair">
        <color indexed="64"/>
      </top>
      <bottom/>
      <diagonal/>
    </border>
    <border>
      <left/>
      <right style="dashed">
        <color theme="4" tint="-0.499984740745262"/>
      </right>
      <top/>
      <bottom/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thin">
        <color indexed="64"/>
      </left>
      <right style="dashed">
        <color theme="4" tint="-0.499984740745262"/>
      </right>
      <top style="thin">
        <color indexed="64"/>
      </top>
      <bottom/>
      <diagonal/>
    </border>
    <border>
      <left style="thin">
        <color indexed="64"/>
      </left>
      <right style="dashed">
        <color theme="4" tint="-0.499984740745262"/>
      </right>
      <top/>
      <bottom/>
      <diagonal/>
    </border>
    <border>
      <left style="thin">
        <color indexed="64"/>
      </left>
      <right style="dashed">
        <color theme="4" tint="-0.499984740745262"/>
      </right>
      <top/>
      <bottom style="thin">
        <color indexed="64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44" fontId="2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10" fillId="0" borderId="0" xfId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9" fontId="9" fillId="0" borderId="0" xfId="2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5" fontId="8" fillId="0" borderId="0" xfId="1" applyFont="1" applyBorder="1" applyAlignment="1">
      <alignment horizontal="left" vertical="center"/>
    </xf>
    <xf numFmtId="165" fontId="11" fillId="0" borderId="0" xfId="1" applyFont="1" applyBorder="1" applyAlignment="1">
      <alignment horizontal="left" vertical="center"/>
    </xf>
    <xf numFmtId="165" fontId="9" fillId="0" borderId="0" xfId="1" applyFont="1" applyBorder="1" applyAlignment="1">
      <alignment horizontal="left" vertical="center"/>
    </xf>
    <xf numFmtId="165" fontId="0" fillId="0" borderId="0" xfId="1" applyFont="1"/>
    <xf numFmtId="10" fontId="0" fillId="0" borderId="0" xfId="2" applyNumberFormat="1" applyFont="1"/>
    <xf numFmtId="0" fontId="0" fillId="0" borderId="1" xfId="0" applyBorder="1"/>
    <xf numFmtId="165" fontId="0" fillId="0" borderId="1" xfId="1" applyFont="1" applyBorder="1"/>
    <xf numFmtId="44" fontId="10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1" applyFont="1"/>
    <xf numFmtId="0" fontId="15" fillId="0" borderId="0" xfId="0" applyFont="1" applyAlignment="1">
      <alignment horizontal="left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7" fillId="0" borderId="0" xfId="0" applyFont="1" applyAlignment="1">
      <alignment horizontal="left" vertical="center" wrapText="1"/>
    </xf>
    <xf numFmtId="0" fontId="18" fillId="5" borderId="0" xfId="0" applyFont="1" applyFill="1" applyAlignment="1">
      <alignment vertical="center" wrapText="1"/>
    </xf>
    <xf numFmtId="0" fontId="13" fillId="5" borderId="0" xfId="0" applyFont="1" applyFill="1"/>
    <xf numFmtId="0" fontId="19" fillId="0" borderId="0" xfId="0" applyFont="1" applyAlignment="1">
      <alignment wrapText="1"/>
    </xf>
    <xf numFmtId="165" fontId="21" fillId="6" borderId="0" xfId="0" applyNumberFormat="1" applyFont="1" applyFill="1" applyAlignment="1">
      <alignment horizontal="center"/>
    </xf>
    <xf numFmtId="0" fontId="21" fillId="6" borderId="0" xfId="0" applyFont="1" applyFill="1"/>
    <xf numFmtId="0" fontId="22" fillId="5" borderId="22" xfId="0" applyFont="1" applyFill="1" applyBorder="1" applyAlignment="1">
      <alignment horizontal="center" wrapText="1"/>
    </xf>
    <xf numFmtId="165" fontId="22" fillId="5" borderId="22" xfId="1" applyFont="1" applyFill="1" applyBorder="1" applyAlignment="1">
      <alignment horizont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23" fillId="5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top" wrapText="1"/>
    </xf>
    <xf numFmtId="165" fontId="24" fillId="2" borderId="24" xfId="1" applyFont="1" applyFill="1" applyBorder="1" applyAlignment="1">
      <alignment horizontal="center" vertical="top" wrapText="1"/>
    </xf>
    <xf numFmtId="165" fontId="7" fillId="0" borderId="24" xfId="0" applyNumberFormat="1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0" fillId="0" borderId="24" xfId="0" applyNumberFormat="1" applyBorder="1"/>
    <xf numFmtId="165" fontId="0" fillId="0" borderId="0" xfId="1" applyFont="1" applyBorder="1"/>
    <xf numFmtId="165" fontId="25" fillId="2" borderId="0" xfId="1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0" fontId="26" fillId="5" borderId="22" xfId="0" applyFont="1" applyFill="1" applyBorder="1" applyAlignment="1">
      <alignment horizontal="center" vertical="center" wrapText="1"/>
    </xf>
    <xf numFmtId="165" fontId="27" fillId="5" borderId="22" xfId="1" applyFont="1" applyFill="1" applyBorder="1" applyAlignment="1">
      <alignment vertical="center" wrapText="1"/>
    </xf>
    <xf numFmtId="0" fontId="26" fillId="5" borderId="22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4" fillId="2" borderId="24" xfId="0" applyFont="1" applyFill="1" applyBorder="1" applyAlignment="1">
      <alignment vertical="top" wrapText="1"/>
    </xf>
    <xf numFmtId="165" fontId="24" fillId="2" borderId="24" xfId="1" applyFont="1" applyFill="1" applyBorder="1" applyAlignment="1">
      <alignment vertical="top" wrapText="1"/>
    </xf>
    <xf numFmtId="165" fontId="24" fillId="2" borderId="22" xfId="1" applyFont="1" applyFill="1" applyBorder="1" applyAlignment="1">
      <alignment vertical="top" wrapText="1"/>
    </xf>
    <xf numFmtId="0" fontId="24" fillId="2" borderId="22" xfId="0" applyFont="1" applyFill="1" applyBorder="1" applyAlignment="1">
      <alignment horizontal="left" vertical="top" wrapText="1"/>
    </xf>
    <xf numFmtId="165" fontId="7" fillId="0" borderId="22" xfId="0" applyNumberFormat="1" applyFont="1" applyBorder="1" applyAlignment="1">
      <alignment horizontal="center"/>
    </xf>
    <xf numFmtId="165" fontId="0" fillId="0" borderId="22" xfId="0" applyNumberFormat="1" applyBorder="1"/>
    <xf numFmtId="0" fontId="15" fillId="7" borderId="24" xfId="0" applyFont="1" applyFill="1" applyBorder="1" applyAlignment="1">
      <alignment horizontal="center" vertical="top" wrapText="1"/>
    </xf>
    <xf numFmtId="165" fontId="12" fillId="7" borderId="24" xfId="1" applyFont="1" applyFill="1" applyBorder="1"/>
    <xf numFmtId="165" fontId="28" fillId="7" borderId="24" xfId="1" applyFont="1" applyFill="1" applyBorder="1" applyAlignment="1">
      <alignment vertical="top" wrapText="1"/>
    </xf>
    <xf numFmtId="0" fontId="12" fillId="7" borderId="24" xfId="0" applyFont="1" applyFill="1" applyBorder="1"/>
    <xf numFmtId="165" fontId="29" fillId="7" borderId="24" xfId="0" applyNumberFormat="1" applyFont="1" applyFill="1" applyBorder="1" applyAlignment="1">
      <alignment horizontal="center"/>
    </xf>
    <xf numFmtId="165" fontId="12" fillId="7" borderId="24" xfId="0" applyNumberFormat="1" applyFont="1" applyFill="1" applyBorder="1" applyAlignment="1">
      <alignment horizontal="center"/>
    </xf>
    <xf numFmtId="0" fontId="15" fillId="8" borderId="24" xfId="0" applyFont="1" applyFill="1" applyBorder="1" applyAlignment="1">
      <alignment horizontal="center" vertical="top" wrapText="1"/>
    </xf>
    <xf numFmtId="165" fontId="28" fillId="8" borderId="24" xfId="1" applyFont="1" applyFill="1" applyBorder="1" applyAlignment="1">
      <alignment vertical="top" wrapText="1"/>
    </xf>
    <xf numFmtId="0" fontId="12" fillId="8" borderId="24" xfId="0" applyFont="1" applyFill="1" applyBorder="1"/>
    <xf numFmtId="165" fontId="29" fillId="8" borderId="24" xfId="0" applyNumberFormat="1" applyFont="1" applyFill="1" applyBorder="1" applyAlignment="1">
      <alignment horizontal="center"/>
    </xf>
    <xf numFmtId="165" fontId="12" fillId="8" borderId="24" xfId="0" applyNumberFormat="1" applyFont="1" applyFill="1" applyBorder="1" applyAlignment="1">
      <alignment horizontal="center"/>
    </xf>
    <xf numFmtId="0" fontId="27" fillId="5" borderId="22" xfId="0" applyFont="1" applyFill="1" applyBorder="1" applyAlignment="1">
      <alignment vertical="center"/>
    </xf>
    <xf numFmtId="0" fontId="26" fillId="5" borderId="22" xfId="0" applyFont="1" applyFill="1" applyBorder="1" applyAlignment="1">
      <alignment vertical="center"/>
    </xf>
    <xf numFmtId="0" fontId="5" fillId="0" borderId="24" xfId="0" applyFont="1" applyBorder="1"/>
    <xf numFmtId="0" fontId="24" fillId="2" borderId="0" xfId="0" applyFont="1" applyFill="1" applyAlignment="1">
      <alignment vertical="top" wrapText="1"/>
    </xf>
    <xf numFmtId="165" fontId="24" fillId="2" borderId="0" xfId="1" applyFont="1" applyFill="1" applyBorder="1" applyAlignment="1">
      <alignment vertical="top" wrapText="1"/>
    </xf>
    <xf numFmtId="0" fontId="5" fillId="0" borderId="0" xfId="0" applyFont="1"/>
    <xf numFmtId="165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165" fontId="31" fillId="0" borderId="0" xfId="1" applyFont="1" applyBorder="1"/>
    <xf numFmtId="0" fontId="31" fillId="0" borderId="0" xfId="0" applyFont="1" applyAlignment="1">
      <alignment horizontal="left"/>
    </xf>
    <xf numFmtId="0" fontId="0" fillId="0" borderId="0" xfId="0" applyAlignment="1">
      <alignment wrapText="1"/>
    </xf>
    <xf numFmtId="0" fontId="32" fillId="5" borderId="23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165" fontId="5" fillId="0" borderId="23" xfId="1" applyFont="1" applyBorder="1"/>
    <xf numFmtId="165" fontId="5" fillId="0" borderId="23" xfId="0" applyNumberFormat="1" applyFont="1" applyBorder="1" applyAlignment="1">
      <alignment horizontal="center"/>
    </xf>
    <xf numFmtId="165" fontId="5" fillId="0" borderId="23" xfId="0" applyNumberFormat="1" applyFont="1" applyBorder="1"/>
    <xf numFmtId="165" fontId="5" fillId="0" borderId="23" xfId="1" applyFont="1" applyBorder="1" applyAlignment="1">
      <alignment horizontal="center"/>
    </xf>
    <xf numFmtId="165" fontId="31" fillId="0" borderId="0" xfId="1" applyFont="1" applyBorder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/>
    </xf>
    <xf numFmtId="165" fontId="0" fillId="0" borderId="0" xfId="1" applyFont="1" applyFill="1" applyBorder="1"/>
    <xf numFmtId="165" fontId="0" fillId="0" borderId="0" xfId="1" applyFont="1" applyAlignment="1">
      <alignment horizontal="center"/>
    </xf>
    <xf numFmtId="2" fontId="0" fillId="0" borderId="0" xfId="0" applyNumberFormat="1"/>
    <xf numFmtId="0" fontId="3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37" fillId="0" borderId="0" xfId="0" applyFont="1"/>
    <xf numFmtId="0" fontId="38" fillId="0" borderId="0" xfId="0" applyFont="1"/>
    <xf numFmtId="44" fontId="0" fillId="0" borderId="0" xfId="0" applyNumberFormat="1"/>
    <xf numFmtId="10" fontId="0" fillId="0" borderId="0" xfId="0" applyNumberFormat="1"/>
    <xf numFmtId="4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9" borderId="0" xfId="0" applyFill="1"/>
    <xf numFmtId="10" fontId="0" fillId="9" borderId="0" xfId="0" applyNumberFormat="1" applyFill="1"/>
    <xf numFmtId="164" fontId="0" fillId="9" borderId="0" xfId="0" applyNumberFormat="1" applyFill="1"/>
    <xf numFmtId="0" fontId="36" fillId="0" borderId="0" xfId="3"/>
    <xf numFmtId="0" fontId="4" fillId="0" borderId="1" xfId="0" applyFont="1" applyBorder="1"/>
    <xf numFmtId="0" fontId="5" fillId="0" borderId="1" xfId="0" applyFont="1" applyBorder="1"/>
    <xf numFmtId="165" fontId="5" fillId="0" borderId="1" xfId="0" applyNumberFormat="1" applyFont="1" applyBorder="1"/>
    <xf numFmtId="0" fontId="5" fillId="0" borderId="5" xfId="0" applyFont="1" applyBorder="1"/>
    <xf numFmtId="165" fontId="5" fillId="0" borderId="1" xfId="1" applyFont="1" applyBorder="1"/>
    <xf numFmtId="0" fontId="3" fillId="0" borderId="0" xfId="0" applyFont="1"/>
    <xf numFmtId="0" fontId="40" fillId="0" borderId="1" xfId="0" applyFont="1" applyBorder="1"/>
    <xf numFmtId="165" fontId="40" fillId="0" borderId="1" xfId="0" applyNumberFormat="1" applyFont="1" applyBorder="1"/>
    <xf numFmtId="165" fontId="40" fillId="0" borderId="1" xfId="1" applyFont="1" applyBorder="1"/>
    <xf numFmtId="165" fontId="7" fillId="0" borderId="1" xfId="1" applyFont="1" applyBorder="1"/>
    <xf numFmtId="44" fontId="5" fillId="0" borderId="1" xfId="0" applyNumberFormat="1" applyFont="1" applyBorder="1"/>
    <xf numFmtId="44" fontId="5" fillId="0" borderId="0" xfId="0" applyNumberFormat="1" applyFont="1"/>
    <xf numFmtId="0" fontId="5" fillId="0" borderId="10" xfId="0" applyFont="1" applyBorder="1"/>
    <xf numFmtId="0" fontId="2" fillId="0" borderId="10" xfId="0" applyFont="1" applyBorder="1"/>
    <xf numFmtId="44" fontId="40" fillId="0" borderId="1" xfId="0" applyNumberFormat="1" applyFont="1" applyBorder="1"/>
    <xf numFmtId="165" fontId="5" fillId="0" borderId="10" xfId="1" applyFont="1" applyBorder="1"/>
    <xf numFmtId="44" fontId="7" fillId="0" borderId="1" xfId="0" applyNumberFormat="1" applyFont="1" applyBorder="1"/>
    <xf numFmtId="0" fontId="3" fillId="0" borderId="5" xfId="0" applyFont="1" applyBorder="1"/>
    <xf numFmtId="165" fontId="3" fillId="0" borderId="10" xfId="0" applyNumberFormat="1" applyFont="1" applyBorder="1"/>
    <xf numFmtId="165" fontId="3" fillId="0" borderId="10" xfId="1" applyFont="1" applyBorder="1"/>
    <xf numFmtId="0" fontId="2" fillId="0" borderId="5" xfId="0" applyFont="1" applyBorder="1"/>
    <xf numFmtId="165" fontId="2" fillId="0" borderId="10" xfId="0" applyNumberFormat="1" applyFont="1" applyBorder="1"/>
    <xf numFmtId="165" fontId="2" fillId="0" borderId="10" xfId="1" applyFont="1" applyBorder="1"/>
    <xf numFmtId="44" fontId="3" fillId="0" borderId="10" xfId="0" applyNumberFormat="1" applyFont="1" applyBorder="1"/>
    <xf numFmtId="44" fontId="2" fillId="0" borderId="10" xfId="0" applyNumberFormat="1" applyFont="1" applyBorder="1"/>
    <xf numFmtId="0" fontId="3" fillId="0" borderId="6" xfId="0" applyFont="1" applyBorder="1"/>
    <xf numFmtId="44" fontId="3" fillId="0" borderId="12" xfId="0" applyNumberFormat="1" applyFont="1" applyBorder="1"/>
    <xf numFmtId="165" fontId="3" fillId="0" borderId="12" xfId="1" applyFont="1" applyBorder="1"/>
    <xf numFmtId="0" fontId="0" fillId="0" borderId="0" xfId="0" applyAlignment="1">
      <alignment horizontal="left"/>
    </xf>
    <xf numFmtId="0" fontId="0" fillId="0" borderId="5" xfId="0" applyBorder="1"/>
    <xf numFmtId="165" fontId="12" fillId="0" borderId="0" xfId="0" applyNumberFormat="1" applyFont="1"/>
    <xf numFmtId="0" fontId="0" fillId="0" borderId="10" xfId="0" applyBorder="1"/>
    <xf numFmtId="165" fontId="0" fillId="0" borderId="9" xfId="0" applyNumberFormat="1" applyBorder="1"/>
    <xf numFmtId="44" fontId="0" fillId="0" borderId="9" xfId="0" applyNumberFormat="1" applyBorder="1"/>
    <xf numFmtId="44" fontId="0" fillId="0" borderId="5" xfId="0" applyNumberFormat="1" applyBorder="1"/>
    <xf numFmtId="0" fontId="0" fillId="0" borderId="6" xfId="0" applyBorder="1"/>
    <xf numFmtId="0" fontId="0" fillId="0" borderId="11" xfId="0" applyBorder="1"/>
    <xf numFmtId="165" fontId="12" fillId="0" borderId="11" xfId="0" applyNumberFormat="1" applyFont="1" applyBorder="1"/>
    <xf numFmtId="165" fontId="0" fillId="0" borderId="11" xfId="1" applyFont="1" applyBorder="1"/>
    <xf numFmtId="0" fontId="0" fillId="0" borderId="12" xfId="0" applyBorder="1"/>
    <xf numFmtId="0" fontId="0" fillId="0" borderId="9" xfId="0" applyBorder="1"/>
    <xf numFmtId="44" fontId="0" fillId="0" borderId="10" xfId="0" applyNumberFormat="1" applyBorder="1"/>
    <xf numFmtId="0" fontId="12" fillId="0" borderId="0" xfId="0" applyFont="1"/>
    <xf numFmtId="44" fontId="12" fillId="9" borderId="0" xfId="0" applyNumberFormat="1" applyFont="1" applyFill="1"/>
    <xf numFmtId="44" fontId="12" fillId="0" borderId="9" xfId="0" applyNumberFormat="1" applyFont="1" applyBorder="1"/>
    <xf numFmtId="0" fontId="0" fillId="0" borderId="8" xfId="0" applyBorder="1"/>
    <xf numFmtId="44" fontId="12" fillId="0" borderId="8" xfId="0" applyNumberFormat="1" applyFont="1" applyBorder="1"/>
    <xf numFmtId="44" fontId="12" fillId="0" borderId="0" xfId="0" applyNumberFormat="1" applyFont="1"/>
    <xf numFmtId="165" fontId="12" fillId="0" borderId="0" xfId="1" applyFont="1"/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165" fontId="0" fillId="0" borderId="10" xfId="0" applyNumberFormat="1" applyBorder="1"/>
    <xf numFmtId="165" fontId="0" fillId="10" borderId="9" xfId="0" applyNumberFormat="1" applyFill="1" applyBorder="1"/>
    <xf numFmtId="44" fontId="0" fillId="10" borderId="9" xfId="0" applyNumberFormat="1" applyFill="1" applyBorder="1"/>
    <xf numFmtId="165" fontId="0" fillId="10" borderId="0" xfId="0" applyNumberFormat="1" applyFill="1"/>
    <xf numFmtId="165" fontId="0" fillId="10" borderId="0" xfId="1" applyFont="1" applyFill="1"/>
    <xf numFmtId="0" fontId="0" fillId="0" borderId="27" xfId="0" applyBorder="1"/>
    <xf numFmtId="0" fontId="0" fillId="0" borderId="28" xfId="0" applyBorder="1"/>
    <xf numFmtId="0" fontId="39" fillId="10" borderId="0" xfId="0" applyFont="1" applyFill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left"/>
    </xf>
    <xf numFmtId="0" fontId="0" fillId="0" borderId="31" xfId="0" applyBorder="1"/>
    <xf numFmtId="0" fontId="4" fillId="0" borderId="0" xfId="0" applyFont="1"/>
    <xf numFmtId="165" fontId="4" fillId="0" borderId="0" xfId="1" applyFont="1" applyBorder="1"/>
    <xf numFmtId="17" fontId="4" fillId="0" borderId="0" xfId="0" applyNumberFormat="1" applyFont="1"/>
    <xf numFmtId="44" fontId="4" fillId="0" borderId="1" xfId="0" applyNumberFormat="1" applyFont="1" applyBorder="1"/>
    <xf numFmtId="165" fontId="4" fillId="0" borderId="1" xfId="1" applyFont="1" applyBorder="1"/>
    <xf numFmtId="0" fontId="4" fillId="0" borderId="10" xfId="0" applyFont="1" applyBorder="1"/>
    <xf numFmtId="165" fontId="4" fillId="0" borderId="10" xfId="1" applyFont="1" applyBorder="1"/>
    <xf numFmtId="0" fontId="4" fillId="0" borderId="11" xfId="0" applyFont="1" applyBorder="1"/>
    <xf numFmtId="0" fontId="4" fillId="0" borderId="12" xfId="0" applyFont="1" applyBorder="1"/>
    <xf numFmtId="2" fontId="4" fillId="0" borderId="1" xfId="0" applyNumberFormat="1" applyFont="1" applyBorder="1"/>
    <xf numFmtId="168" fontId="4" fillId="0" borderId="1" xfId="1" applyNumberFormat="1" applyFont="1" applyBorder="1"/>
    <xf numFmtId="0" fontId="42" fillId="0" borderId="0" xfId="0" applyFont="1"/>
    <xf numFmtId="17" fontId="42" fillId="0" borderId="0" xfId="0" applyNumberFormat="1" applyFont="1"/>
    <xf numFmtId="0" fontId="39" fillId="0" borderId="0" xfId="0" applyFont="1" applyAlignment="1">
      <alignment horizontal="left" vertical="center"/>
    </xf>
    <xf numFmtId="0" fontId="40" fillId="13" borderId="1" xfId="0" applyFont="1" applyFill="1" applyBorder="1" applyAlignment="1">
      <alignment horizontal="center" vertical="center" wrapText="1"/>
    </xf>
    <xf numFmtId="0" fontId="40" fillId="13" borderId="1" xfId="0" applyFont="1" applyFill="1" applyBorder="1" applyAlignment="1">
      <alignment horizontal="right" vertical="center" wrapText="1"/>
    </xf>
    <xf numFmtId="0" fontId="43" fillId="2" borderId="1" xfId="0" applyFont="1" applyFill="1" applyBorder="1" applyAlignment="1">
      <alignment horizontal="center" vertical="top" wrapText="1"/>
    </xf>
    <xf numFmtId="4" fontId="40" fillId="13" borderId="1" xfId="0" applyNumberFormat="1" applyFont="1" applyFill="1" applyBorder="1" applyAlignment="1">
      <alignment horizontal="right" vertical="center" wrapText="1"/>
    </xf>
    <xf numFmtId="4" fontId="43" fillId="2" borderId="1" xfId="0" applyNumberFormat="1" applyFont="1" applyFill="1" applyBorder="1" applyAlignment="1">
      <alignment horizontal="right" vertical="top" wrapText="1"/>
    </xf>
    <xf numFmtId="9" fontId="11" fillId="0" borderId="0" xfId="2" applyFont="1" applyBorder="1" applyAlignment="1">
      <alignment horizontal="left" vertical="center"/>
    </xf>
    <xf numFmtId="10" fontId="11" fillId="0" borderId="0" xfId="0" applyNumberFormat="1" applyFont="1" applyAlignment="1">
      <alignment horizontal="left" vertical="center"/>
    </xf>
    <xf numFmtId="9" fontId="11" fillId="0" borderId="0" xfId="0" applyNumberFormat="1" applyFont="1" applyAlignment="1">
      <alignment horizontal="left" vertical="center"/>
    </xf>
    <xf numFmtId="0" fontId="43" fillId="2" borderId="1" xfId="0" applyFont="1" applyFill="1" applyBorder="1" applyAlignment="1">
      <alignment horizontal="right" vertical="top" wrapText="1"/>
    </xf>
    <xf numFmtId="0" fontId="43" fillId="14" borderId="1" xfId="0" applyFont="1" applyFill="1" applyBorder="1" applyAlignment="1">
      <alignment horizontal="center" vertical="top" wrapText="1"/>
    </xf>
    <xf numFmtId="4" fontId="43" fillId="14" borderId="1" xfId="0" applyNumberFormat="1" applyFont="1" applyFill="1" applyBorder="1" applyAlignment="1">
      <alignment horizontal="right" vertical="top" wrapText="1"/>
    </xf>
    <xf numFmtId="0" fontId="43" fillId="15" borderId="1" xfId="0" applyFont="1" applyFill="1" applyBorder="1" applyAlignment="1">
      <alignment horizontal="center" vertical="top" wrapText="1"/>
    </xf>
    <xf numFmtId="4" fontId="43" fillId="15" borderId="1" xfId="0" applyNumberFormat="1" applyFont="1" applyFill="1" applyBorder="1" applyAlignment="1">
      <alignment horizontal="right" vertical="top" wrapText="1"/>
    </xf>
    <xf numFmtId="0" fontId="44" fillId="16" borderId="1" xfId="0" applyFont="1" applyFill="1" applyBorder="1" applyAlignment="1">
      <alignment horizontal="center" vertical="top" wrapText="1"/>
    </xf>
    <xf numFmtId="0" fontId="44" fillId="16" borderId="1" xfId="0" applyFont="1" applyFill="1" applyBorder="1" applyAlignment="1">
      <alignment horizontal="right" vertical="top" wrapText="1" indent="1"/>
    </xf>
    <xf numFmtId="4" fontId="44" fillId="16" borderId="1" xfId="0" applyNumberFormat="1" applyFont="1" applyFill="1" applyBorder="1" applyAlignment="1">
      <alignment horizontal="right" vertical="top" wrapText="1" indent="1"/>
    </xf>
    <xf numFmtId="0" fontId="13" fillId="5" borderId="0" xfId="0" applyFont="1" applyFill="1" applyAlignment="1">
      <alignment horizontal="center"/>
    </xf>
    <xf numFmtId="0" fontId="13" fillId="5" borderId="1" xfId="0" applyFont="1" applyFill="1" applyBorder="1"/>
    <xf numFmtId="44" fontId="0" fillId="0" borderId="1" xfId="0" applyNumberFormat="1" applyBorder="1"/>
    <xf numFmtId="0" fontId="12" fillId="8" borderId="1" xfId="0" applyFont="1" applyFill="1" applyBorder="1"/>
    <xf numFmtId="44" fontId="12" fillId="8" borderId="1" xfId="0" applyNumberFormat="1" applyFont="1" applyFill="1" applyBorder="1"/>
    <xf numFmtId="0" fontId="0" fillId="4" borderId="0" xfId="0" applyFill="1"/>
    <xf numFmtId="165" fontId="1" fillId="0" borderId="1" xfId="1" applyFont="1" applyBorder="1"/>
    <xf numFmtId="165" fontId="12" fillId="8" borderId="1" xfId="1" applyFont="1" applyFill="1" applyBorder="1"/>
    <xf numFmtId="0" fontId="13" fillId="5" borderId="1" xfId="0" applyFont="1" applyFill="1" applyBorder="1" applyAlignment="1">
      <alignment horizontal="center"/>
    </xf>
    <xf numFmtId="44" fontId="0" fillId="8" borderId="1" xfId="0" applyNumberFormat="1" applyFill="1" applyBorder="1"/>
    <xf numFmtId="44" fontId="0" fillId="0" borderId="13" xfId="0" applyNumberFormat="1" applyBorder="1"/>
    <xf numFmtId="44" fontId="12" fillId="8" borderId="13" xfId="0" applyNumberFormat="1" applyFont="1" applyFill="1" applyBorder="1"/>
    <xf numFmtId="3" fontId="0" fillId="0" borderId="0" xfId="0" applyNumberFormat="1"/>
    <xf numFmtId="10" fontId="0" fillId="0" borderId="1" xfId="2" applyNumberFormat="1" applyFont="1" applyBorder="1"/>
    <xf numFmtId="2" fontId="0" fillId="0" borderId="1" xfId="0" applyNumberFormat="1" applyBorder="1"/>
    <xf numFmtId="0" fontId="12" fillId="12" borderId="1" xfId="0" applyFont="1" applyFill="1" applyBorder="1"/>
    <xf numFmtId="165" fontId="12" fillId="12" borderId="1" xfId="1" applyFont="1" applyFill="1" applyBorder="1"/>
    <xf numFmtId="10" fontId="12" fillId="12" borderId="1" xfId="2" applyNumberFormat="1" applyFont="1" applyFill="1" applyBorder="1"/>
    <xf numFmtId="0" fontId="12" fillId="0" borderId="1" xfId="0" applyFont="1" applyBorder="1"/>
    <xf numFmtId="165" fontId="12" fillId="0" borderId="1" xfId="1" applyFont="1" applyBorder="1"/>
    <xf numFmtId="44" fontId="12" fillId="0" borderId="1" xfId="0" applyNumberFormat="1" applyFont="1" applyBorder="1"/>
    <xf numFmtId="2" fontId="12" fillId="0" borderId="1" xfId="0" applyNumberFormat="1" applyFont="1" applyBorder="1"/>
    <xf numFmtId="10" fontId="12" fillId="8" borderId="1" xfId="2" applyNumberFormat="1" applyFont="1" applyFill="1" applyBorder="1"/>
    <xf numFmtId="0" fontId="12" fillId="12" borderId="0" xfId="0" applyFont="1" applyFill="1"/>
    <xf numFmtId="10" fontId="12" fillId="12" borderId="0" xfId="0" applyNumberFormat="1" applyFont="1" applyFill="1"/>
    <xf numFmtId="169" fontId="0" fillId="0" borderId="1" xfId="0" applyNumberFormat="1" applyBorder="1"/>
    <xf numFmtId="165" fontId="12" fillId="12" borderId="0" xfId="1" applyFont="1" applyFill="1" applyAlignment="1">
      <alignment horizontal="right"/>
    </xf>
    <xf numFmtId="0" fontId="0" fillId="12" borderId="0" xfId="0" applyFill="1"/>
    <xf numFmtId="167" fontId="4" fillId="0" borderId="1" xfId="1" applyNumberFormat="1" applyFont="1" applyBorder="1"/>
    <xf numFmtId="165" fontId="4" fillId="0" borderId="1" xfId="0" applyNumberFormat="1" applyFont="1" applyBorder="1"/>
    <xf numFmtId="0" fontId="0" fillId="0" borderId="32" xfId="0" applyBorder="1"/>
    <xf numFmtId="0" fontId="0" fillId="0" borderId="32" xfId="0" applyBorder="1" applyAlignment="1">
      <alignment horizontal="center"/>
    </xf>
    <xf numFmtId="165" fontId="0" fillId="0" borderId="32" xfId="1" applyFont="1" applyBorder="1"/>
    <xf numFmtId="0" fontId="6" fillId="0" borderId="32" xfId="0" applyFont="1" applyBorder="1" applyAlignment="1">
      <alignment horizontal="left" vertical="center"/>
    </xf>
    <xf numFmtId="165" fontId="40" fillId="0" borderId="32" xfId="1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165" fontId="5" fillId="0" borderId="32" xfId="1" applyFont="1" applyBorder="1"/>
    <xf numFmtId="0" fontId="40" fillId="0" borderId="32" xfId="0" applyFont="1" applyBorder="1"/>
    <xf numFmtId="165" fontId="40" fillId="0" borderId="32" xfId="1" applyFont="1" applyBorder="1"/>
    <xf numFmtId="0" fontId="5" fillId="0" borderId="32" xfId="0" applyFont="1" applyBorder="1"/>
    <xf numFmtId="165" fontId="40" fillId="0" borderId="32" xfId="0" applyNumberFormat="1" applyFont="1" applyBorder="1"/>
    <xf numFmtId="165" fontId="5" fillId="0" borderId="32" xfId="1" applyFont="1" applyBorder="1" applyAlignment="1">
      <alignment horizontal="left" vertical="center"/>
    </xf>
    <xf numFmtId="0" fontId="40" fillId="8" borderId="33" xfId="0" applyFont="1" applyFill="1" applyBorder="1"/>
    <xf numFmtId="165" fontId="12" fillId="8" borderId="0" xfId="0" applyNumberFormat="1" applyFont="1" applyFill="1"/>
    <xf numFmtId="165" fontId="0" fillId="0" borderId="0" xfId="1" applyFont="1" applyBorder="1" applyAlignment="1">
      <alignment horizontal="center" vertical="center"/>
    </xf>
    <xf numFmtId="170" fontId="0" fillId="0" borderId="0" xfId="0" applyNumberFormat="1"/>
    <xf numFmtId="0" fontId="46" fillId="3" borderId="18" xfId="0" applyFont="1" applyFill="1" applyBorder="1" applyAlignment="1">
      <alignment horizontal="center" vertical="center"/>
    </xf>
    <xf numFmtId="165" fontId="45" fillId="0" borderId="19" xfId="1" applyFont="1" applyBorder="1" applyAlignment="1">
      <alignment horizontal="center" vertical="center"/>
    </xf>
    <xf numFmtId="0" fontId="5" fillId="0" borderId="2" xfId="0" applyFont="1" applyBorder="1"/>
    <xf numFmtId="0" fontId="40" fillId="0" borderId="17" xfId="0" applyFont="1" applyBorder="1"/>
    <xf numFmtId="165" fontId="7" fillId="0" borderId="10" xfId="0" applyNumberFormat="1" applyFont="1" applyBorder="1"/>
    <xf numFmtId="0" fontId="40" fillId="0" borderId="14" xfId="0" applyFont="1" applyBorder="1"/>
    <xf numFmtId="0" fontId="5" fillId="0" borderId="14" xfId="0" applyFont="1" applyBorder="1"/>
    <xf numFmtId="0" fontId="2" fillId="0" borderId="34" xfId="0" applyFont="1" applyBorder="1"/>
    <xf numFmtId="0" fontId="9" fillId="0" borderId="20" xfId="0" applyFont="1" applyBorder="1" applyAlignment="1">
      <alignment horizontal="left" vertical="center"/>
    </xf>
    <xf numFmtId="165" fontId="10" fillId="0" borderId="20" xfId="1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65" fontId="10" fillId="0" borderId="20" xfId="0" applyNumberFormat="1" applyFont="1" applyBorder="1" applyAlignment="1">
      <alignment horizontal="left" vertical="center"/>
    </xf>
    <xf numFmtId="9" fontId="9" fillId="0" borderId="20" xfId="2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9" fontId="11" fillId="0" borderId="20" xfId="2" applyFont="1" applyBorder="1" applyAlignment="1">
      <alignment horizontal="left" vertical="center"/>
    </xf>
    <xf numFmtId="165" fontId="8" fillId="0" borderId="20" xfId="1" applyFont="1" applyBorder="1" applyAlignment="1">
      <alignment horizontal="left" vertical="center"/>
    </xf>
    <xf numFmtId="165" fontId="8" fillId="0" borderId="20" xfId="0" applyNumberFormat="1" applyFont="1" applyBorder="1" applyAlignment="1">
      <alignment horizontal="left" vertical="center"/>
    </xf>
    <xf numFmtId="165" fontId="45" fillId="0" borderId="20" xfId="1" applyFont="1" applyBorder="1"/>
    <xf numFmtId="165" fontId="11" fillId="0" borderId="20" xfId="1" applyFont="1" applyBorder="1" applyAlignment="1">
      <alignment horizontal="left" vertical="center"/>
    </xf>
    <xf numFmtId="9" fontId="11" fillId="0" borderId="20" xfId="0" applyNumberFormat="1" applyFont="1" applyBorder="1" applyAlignment="1">
      <alignment horizontal="left" vertical="center"/>
    </xf>
    <xf numFmtId="10" fontId="11" fillId="0" borderId="20" xfId="0" applyNumberFormat="1" applyFont="1" applyBorder="1" applyAlignment="1">
      <alignment horizontal="left" vertical="center"/>
    </xf>
    <xf numFmtId="0" fontId="40" fillId="0" borderId="20" xfId="0" applyFont="1" applyBorder="1" applyAlignment="1">
      <alignment horizontal="center" vertical="center"/>
    </xf>
    <xf numFmtId="165" fontId="0" fillId="0" borderId="0" xfId="1" applyFont="1" applyAlignment="1"/>
    <xf numFmtId="0" fontId="9" fillId="0" borderId="1" xfId="0" applyFont="1" applyBorder="1" applyAlignment="1">
      <alignment horizontal="left" vertical="center"/>
    </xf>
    <xf numFmtId="165" fontId="10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9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11" fillId="0" borderId="1" xfId="2" applyFont="1" applyBorder="1" applyAlignment="1">
      <alignment horizontal="left" vertical="center"/>
    </xf>
    <xf numFmtId="165" fontId="8" fillId="0" borderId="1" xfId="1" applyFont="1" applyBorder="1" applyAlignment="1">
      <alignment horizontal="left" vertical="center"/>
    </xf>
    <xf numFmtId="165" fontId="45" fillId="0" borderId="1" xfId="1" applyFont="1" applyBorder="1"/>
    <xf numFmtId="165" fontId="11" fillId="0" borderId="1" xfId="1" applyFont="1" applyBorder="1" applyAlignment="1">
      <alignment horizontal="left" vertical="center"/>
    </xf>
    <xf numFmtId="9" fontId="11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0" fontId="11" fillId="0" borderId="1" xfId="0" applyNumberFormat="1" applyFont="1" applyBorder="1" applyAlignment="1">
      <alignment horizontal="left" vertical="center"/>
    </xf>
    <xf numFmtId="165" fontId="8" fillId="0" borderId="1" xfId="4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10" fontId="0" fillId="0" borderId="0" xfId="2" applyNumberFormat="1" applyFont="1" applyAlignment="1"/>
    <xf numFmtId="10" fontId="0" fillId="0" borderId="32" xfId="2" applyNumberFormat="1" applyFont="1" applyBorder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justify" vertical="center"/>
    </xf>
    <xf numFmtId="0" fontId="48" fillId="0" borderId="0" xfId="0" applyFont="1" applyAlignment="1">
      <alignment horizontal="justify" vertical="center" wrapText="1"/>
    </xf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4" fillId="21" borderId="24" xfId="0" applyFont="1" applyFill="1" applyBorder="1" applyAlignment="1">
      <alignment horizontal="center" vertical="top" wrapText="1"/>
    </xf>
    <xf numFmtId="0" fontId="15" fillId="11" borderId="0" xfId="0" applyFont="1" applyFill="1" applyAlignment="1">
      <alignment horizontal="left" vertical="center" wrapText="1"/>
    </xf>
    <xf numFmtId="0" fontId="24" fillId="22" borderId="24" xfId="0" applyFont="1" applyFill="1" applyBorder="1" applyAlignment="1">
      <alignment vertical="top" wrapText="1"/>
    </xf>
    <xf numFmtId="0" fontId="24" fillId="23" borderId="24" xfId="0" applyFont="1" applyFill="1" applyBorder="1" applyAlignment="1">
      <alignment vertical="top" wrapText="1"/>
    </xf>
    <xf numFmtId="0" fontId="24" fillId="17" borderId="24" xfId="0" applyFont="1" applyFill="1" applyBorder="1" applyAlignment="1">
      <alignment vertical="top" wrapText="1"/>
    </xf>
    <xf numFmtId="0" fontId="24" fillId="24" borderId="22" xfId="0" applyFont="1" applyFill="1" applyBorder="1" applyAlignment="1">
      <alignment vertical="top" wrapText="1"/>
    </xf>
    <xf numFmtId="0" fontId="13" fillId="20" borderId="0" xfId="0" applyFont="1" applyFill="1"/>
    <xf numFmtId="0" fontId="21" fillId="20" borderId="0" xfId="0" applyFont="1" applyFill="1"/>
    <xf numFmtId="0" fontId="50" fillId="20" borderId="2" xfId="0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/>
    </xf>
    <xf numFmtId="0" fontId="24" fillId="0" borderId="0" xfId="0" applyFont="1" applyAlignment="1">
      <alignment horizontal="center" vertical="top" wrapText="1"/>
    </xf>
    <xf numFmtId="10" fontId="0" fillId="0" borderId="0" xfId="0" applyNumberFormat="1" applyAlignment="1">
      <alignment horizontal="center" vertical="center"/>
    </xf>
    <xf numFmtId="165" fontId="52" fillId="0" borderId="44" xfId="0" applyNumberFormat="1" applyFont="1" applyBorder="1"/>
    <xf numFmtId="0" fontId="13" fillId="20" borderId="44" xfId="0" applyFont="1" applyFill="1" applyBorder="1" applyAlignment="1">
      <alignment horizontal="center"/>
    </xf>
    <xf numFmtId="0" fontId="13" fillId="20" borderId="44" xfId="0" applyFont="1" applyFill="1" applyBorder="1" applyAlignment="1">
      <alignment horizontal="center" vertical="center"/>
    </xf>
    <xf numFmtId="0" fontId="52" fillId="0" borderId="44" xfId="0" applyFont="1" applyBorder="1" applyAlignment="1">
      <alignment horizontal="center"/>
    </xf>
    <xf numFmtId="165" fontId="52" fillId="0" borderId="44" xfId="0" applyNumberFormat="1" applyFont="1" applyBorder="1" applyAlignment="1">
      <alignment horizontal="center" vertical="center"/>
    </xf>
    <xf numFmtId="0" fontId="21" fillId="20" borderId="44" xfId="0" applyFont="1" applyFill="1" applyBorder="1" applyAlignment="1">
      <alignment horizontal="center"/>
    </xf>
    <xf numFmtId="165" fontId="21" fillId="20" borderId="44" xfId="1" applyFont="1" applyFill="1" applyBorder="1" applyAlignment="1">
      <alignment horizontal="center" vertical="center"/>
    </xf>
    <xf numFmtId="165" fontId="13" fillId="20" borderId="44" xfId="1" applyFont="1" applyFill="1" applyBorder="1" applyAlignment="1">
      <alignment horizontal="center" vertical="center"/>
    </xf>
    <xf numFmtId="165" fontId="13" fillId="20" borderId="44" xfId="0" applyNumberFormat="1" applyFont="1" applyFill="1" applyBorder="1" applyAlignment="1">
      <alignment horizontal="center" vertical="center"/>
    </xf>
    <xf numFmtId="0" fontId="29" fillId="20" borderId="44" xfId="0" applyFont="1" applyFill="1" applyBorder="1" applyAlignment="1">
      <alignment horizontal="center"/>
    </xf>
    <xf numFmtId="165" fontId="29" fillId="20" borderId="44" xfId="0" applyNumberFormat="1" applyFont="1" applyFill="1" applyBorder="1" applyAlignment="1">
      <alignment horizontal="center" vertical="center"/>
    </xf>
    <xf numFmtId="165" fontId="29" fillId="20" borderId="44" xfId="0" applyNumberFormat="1" applyFont="1" applyFill="1" applyBorder="1" applyAlignment="1">
      <alignment vertical="center"/>
    </xf>
    <xf numFmtId="0" fontId="0" fillId="0" borderId="44" xfId="0" applyBorder="1" applyAlignment="1">
      <alignment horizontal="center"/>
    </xf>
    <xf numFmtId="165" fontId="13" fillId="20" borderId="44" xfId="0" applyNumberFormat="1" applyFont="1" applyFill="1" applyBorder="1" applyAlignment="1">
      <alignment vertical="center"/>
    </xf>
    <xf numFmtId="165" fontId="29" fillId="20" borderId="44" xfId="1" applyFont="1" applyFill="1" applyBorder="1" applyAlignment="1">
      <alignment horizontal="center" vertical="center"/>
    </xf>
    <xf numFmtId="0" fontId="51" fillId="19" borderId="44" xfId="0" applyFont="1" applyFill="1" applyBorder="1" applyAlignment="1">
      <alignment horizontal="center"/>
    </xf>
    <xf numFmtId="165" fontId="0" fillId="0" borderId="44" xfId="0" applyNumberFormat="1" applyBorder="1" applyAlignment="1">
      <alignment horizontal="center" vertical="center"/>
    </xf>
    <xf numFmtId="165" fontId="0" fillId="0" borderId="44" xfId="1" applyFont="1" applyBorder="1" applyAlignment="1">
      <alignment horizontal="center" vertical="center"/>
    </xf>
    <xf numFmtId="165" fontId="0" fillId="0" borderId="32" xfId="1" applyFont="1" applyBorder="1" applyAlignment="1">
      <alignment horizontal="center"/>
    </xf>
    <xf numFmtId="0" fontId="13" fillId="20" borderId="46" xfId="0" applyFont="1" applyFill="1" applyBorder="1" applyAlignment="1">
      <alignment vertical="center"/>
    </xf>
    <xf numFmtId="165" fontId="51" fillId="19" borderId="44" xfId="1" applyFont="1" applyFill="1" applyBorder="1" applyAlignment="1">
      <alignment horizontal="center" vertical="center"/>
    </xf>
    <xf numFmtId="165" fontId="51" fillId="19" borderId="44" xfId="1" applyFont="1" applyFill="1" applyBorder="1" applyAlignment="1">
      <alignment horizontal="center"/>
    </xf>
    <xf numFmtId="0" fontId="13" fillId="20" borderId="51" xfId="0" applyFont="1" applyFill="1" applyBorder="1" applyAlignment="1">
      <alignment horizontal="center"/>
    </xf>
    <xf numFmtId="0" fontId="13" fillId="20" borderId="51" xfId="0" applyFont="1" applyFill="1" applyBorder="1" applyAlignment="1">
      <alignment horizontal="center" vertical="center"/>
    </xf>
    <xf numFmtId="0" fontId="0" fillId="0" borderId="51" xfId="0" applyBorder="1"/>
    <xf numFmtId="165" fontId="51" fillId="19" borderId="51" xfId="1" applyFont="1" applyFill="1" applyBorder="1" applyAlignment="1">
      <alignment horizontal="center"/>
    </xf>
    <xf numFmtId="165" fontId="51" fillId="19" borderId="51" xfId="1" applyFont="1" applyFill="1" applyBorder="1" applyAlignment="1">
      <alignment horizontal="center" vertical="center"/>
    </xf>
    <xf numFmtId="0" fontId="21" fillId="20" borderId="51" xfId="0" applyFont="1" applyFill="1" applyBorder="1" applyAlignment="1">
      <alignment horizontal="center"/>
    </xf>
    <xf numFmtId="165" fontId="21" fillId="20" borderId="51" xfId="1" applyFont="1" applyFill="1" applyBorder="1" applyAlignment="1">
      <alignment horizontal="center" vertical="center"/>
    </xf>
    <xf numFmtId="165" fontId="13" fillId="20" borderId="51" xfId="0" applyNumberFormat="1" applyFont="1" applyFill="1" applyBorder="1" applyAlignment="1">
      <alignment horizontal="center" vertical="center"/>
    </xf>
    <xf numFmtId="0" fontId="29" fillId="20" borderId="51" xfId="0" applyFont="1" applyFill="1" applyBorder="1" applyAlignment="1">
      <alignment horizontal="center"/>
    </xf>
    <xf numFmtId="165" fontId="29" fillId="20" borderId="51" xfId="0" applyNumberFormat="1" applyFont="1" applyFill="1" applyBorder="1" applyAlignment="1">
      <alignment horizontal="center" vertical="center"/>
    </xf>
    <xf numFmtId="165" fontId="0" fillId="0" borderId="51" xfId="1" applyFont="1" applyBorder="1" applyAlignment="1">
      <alignment horizontal="center" vertical="center"/>
    </xf>
    <xf numFmtId="165" fontId="51" fillId="19" borderId="0" xfId="0" applyNumberFormat="1" applyFont="1" applyFill="1"/>
    <xf numFmtId="9" fontId="0" fillId="0" borderId="0" xfId="2" applyFont="1" applyAlignment="1">
      <alignment vertical="center"/>
    </xf>
    <xf numFmtId="2" fontId="0" fillId="0" borderId="0" xfId="2" applyNumberFormat="1" applyFont="1"/>
    <xf numFmtId="165" fontId="51" fillId="19" borderId="47" xfId="0" applyNumberFormat="1" applyFont="1" applyFill="1" applyBorder="1" applyAlignment="1">
      <alignment horizontal="center" vertical="center"/>
    </xf>
    <xf numFmtId="165" fontId="51" fillId="19" borderId="51" xfId="0" applyNumberFormat="1" applyFont="1" applyFill="1" applyBorder="1" applyAlignment="1">
      <alignment horizontal="center" vertical="center"/>
    </xf>
    <xf numFmtId="165" fontId="29" fillId="19" borderId="51" xfId="0" applyNumberFormat="1" applyFont="1" applyFill="1" applyBorder="1"/>
    <xf numFmtId="165" fontId="12" fillId="19" borderId="0" xfId="0" applyNumberFormat="1" applyFont="1" applyFill="1"/>
    <xf numFmtId="165" fontId="11" fillId="0" borderId="44" xfId="0" applyNumberFormat="1" applyFont="1" applyBorder="1"/>
    <xf numFmtId="165" fontId="9" fillId="0" borderId="1" xfId="0" applyNumberFormat="1" applyFont="1" applyBorder="1" applyAlignment="1">
      <alignment horizontal="left" vertical="center"/>
    </xf>
    <xf numFmtId="165" fontId="9" fillId="0" borderId="44" xfId="1" applyFont="1" applyBorder="1"/>
    <xf numFmtId="0" fontId="0" fillId="4" borderId="0" xfId="0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0" fillId="0" borderId="7" xfId="0" applyBorder="1"/>
    <xf numFmtId="165" fontId="0" fillId="0" borderId="8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53" fillId="0" borderId="0" xfId="0" applyFont="1"/>
    <xf numFmtId="0" fontId="54" fillId="0" borderId="0" xfId="0" applyFont="1"/>
    <xf numFmtId="165" fontId="0" fillId="0" borderId="8" xfId="1" applyFont="1" applyBorder="1" applyAlignment="1">
      <alignment horizontal="center"/>
    </xf>
    <xf numFmtId="165" fontId="0" fillId="0" borderId="7" xfId="1" applyFont="1" applyBorder="1"/>
    <xf numFmtId="165" fontId="0" fillId="0" borderId="5" xfId="1" applyFont="1" applyBorder="1"/>
    <xf numFmtId="165" fontId="0" fillId="0" borderId="8" xfId="1" applyFont="1" applyBorder="1"/>
    <xf numFmtId="44" fontId="5" fillId="0" borderId="10" xfId="0" applyNumberFormat="1" applyFont="1" applyBorder="1"/>
    <xf numFmtId="0" fontId="5" fillId="0" borderId="6" xfId="0" applyFont="1" applyBorder="1"/>
    <xf numFmtId="0" fontId="5" fillId="0" borderId="12" xfId="0" applyFont="1" applyBorder="1"/>
    <xf numFmtId="165" fontId="55" fillId="0" borderId="1" xfId="1" applyFont="1" applyBorder="1"/>
    <xf numFmtId="165" fontId="55" fillId="0" borderId="10" xfId="1" applyFont="1" applyBorder="1"/>
    <xf numFmtId="0" fontId="4" fillId="0" borderId="0" xfId="0" applyFont="1" applyAlignment="1">
      <alignment horizontal="center"/>
    </xf>
    <xf numFmtId="165" fontId="4" fillId="0" borderId="1" xfId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65" fontId="0" fillId="0" borderId="1" xfId="1" applyFont="1" applyBorder="1" applyAlignment="1">
      <alignment horizontal="center"/>
    </xf>
    <xf numFmtId="165" fontId="12" fillId="12" borderId="1" xfId="1" applyFont="1" applyFill="1" applyBorder="1" applyAlignment="1">
      <alignment horizontal="center"/>
    </xf>
    <xf numFmtId="165" fontId="12" fillId="8" borderId="1" xfId="1" applyFont="1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center"/>
    </xf>
    <xf numFmtId="165" fontId="12" fillId="12" borderId="0" xfId="1" applyFont="1" applyFill="1" applyAlignment="1">
      <alignment horizontal="center"/>
    </xf>
    <xf numFmtId="0" fontId="42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center"/>
    </xf>
    <xf numFmtId="0" fontId="12" fillId="19" borderId="1" xfId="0" applyFont="1" applyFill="1" applyBorder="1"/>
    <xf numFmtId="0" fontId="35" fillId="0" borderId="0" xfId="0" applyFont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13" fillId="18" borderId="1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2" fillId="19" borderId="17" xfId="0" applyFont="1" applyFill="1" applyBorder="1" applyAlignment="1">
      <alignment horizontal="center"/>
    </xf>
    <xf numFmtId="44" fontId="12" fillId="19" borderId="17" xfId="0" applyNumberFormat="1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44" fontId="12" fillId="19" borderId="1" xfId="0" applyNumberFormat="1" applyFont="1" applyFill="1" applyBorder="1" applyAlignment="1">
      <alignment horizontal="center"/>
    </xf>
    <xf numFmtId="0" fontId="47" fillId="18" borderId="0" xfId="0" applyFont="1" applyFill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165" fontId="10" fillId="19" borderId="1" xfId="1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165" fontId="10" fillId="19" borderId="1" xfId="0" applyNumberFormat="1" applyFont="1" applyFill="1" applyBorder="1" applyAlignment="1">
      <alignment horizontal="left" vertical="center"/>
    </xf>
    <xf numFmtId="0" fontId="8" fillId="18" borderId="0" xfId="0" applyFont="1" applyFill="1" applyAlignment="1">
      <alignment horizontal="left" vertical="center"/>
    </xf>
    <xf numFmtId="165" fontId="47" fillId="0" borderId="1" xfId="0" applyNumberFormat="1" applyFont="1" applyBorder="1" applyAlignment="1">
      <alignment horizontal="left" vertical="center"/>
    </xf>
    <xf numFmtId="0" fontId="42" fillId="0" borderId="8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0" fontId="56" fillId="20" borderId="1" xfId="0" applyFont="1" applyFill="1" applyBorder="1" applyAlignment="1">
      <alignment horizontal="center" vertical="center"/>
    </xf>
    <xf numFmtId="167" fontId="4" fillId="19" borderId="1" xfId="1" applyNumberFormat="1" applyFont="1" applyFill="1" applyBorder="1"/>
    <xf numFmtId="165" fontId="4" fillId="19" borderId="1" xfId="1" applyFont="1" applyFill="1" applyBorder="1" applyAlignment="1">
      <alignment horizontal="center"/>
    </xf>
    <xf numFmtId="165" fontId="4" fillId="19" borderId="1" xfId="0" applyNumberFormat="1" applyFont="1" applyFill="1" applyBorder="1" applyAlignment="1">
      <alignment horizontal="center"/>
    </xf>
    <xf numFmtId="165" fontId="4" fillId="19" borderId="1" xfId="0" applyNumberFormat="1" applyFont="1" applyFill="1" applyBorder="1"/>
    <xf numFmtId="44" fontId="4" fillId="19" borderId="1" xfId="0" applyNumberFormat="1" applyFont="1" applyFill="1" applyBorder="1"/>
    <xf numFmtId="0" fontId="8" fillId="20" borderId="0" xfId="0" applyFont="1" applyFill="1" applyAlignment="1">
      <alignment horizontal="left" vertical="center"/>
    </xf>
    <xf numFmtId="0" fontId="47" fillId="20" borderId="0" xfId="0" applyFont="1" applyFill="1" applyAlignment="1">
      <alignment horizontal="left" vertical="center"/>
    </xf>
    <xf numFmtId="0" fontId="47" fillId="20" borderId="0" xfId="0" applyFont="1" applyFill="1" applyAlignment="1">
      <alignment horizontal="center" vertical="center"/>
    </xf>
    <xf numFmtId="165" fontId="5" fillId="4" borderId="1" xfId="1" applyFont="1" applyFill="1" applyBorder="1" applyAlignment="1">
      <alignment horizontal="left" vertical="center"/>
    </xf>
    <xf numFmtId="0" fontId="5" fillId="4" borderId="1" xfId="0" applyFont="1" applyFill="1" applyBorder="1"/>
    <xf numFmtId="165" fontId="5" fillId="4" borderId="1" xfId="1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5" fontId="5" fillId="4" borderId="1" xfId="1" applyFont="1" applyFill="1" applyBorder="1" applyAlignment="1">
      <alignment horizontal="center" wrapText="1"/>
    </xf>
    <xf numFmtId="165" fontId="5" fillId="4" borderId="1" xfId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3" fillId="18" borderId="0" xfId="0" applyFont="1" applyFill="1" applyAlignment="1">
      <alignment horizontal="center"/>
    </xf>
    <xf numFmtId="165" fontId="0" fillId="0" borderId="0" xfId="1" applyFont="1" applyBorder="1" applyAlignment="1">
      <alignment horizontal="center"/>
    </xf>
    <xf numFmtId="165" fontId="12" fillId="19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41" fillId="0" borderId="41" xfId="0" applyFont="1" applyBorder="1"/>
    <xf numFmtId="0" fontId="41" fillId="0" borderId="42" xfId="0" applyFont="1" applyBorder="1"/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13" fillId="20" borderId="44" xfId="0" applyFont="1" applyFill="1" applyBorder="1"/>
    <xf numFmtId="0" fontId="13" fillId="20" borderId="47" xfId="0" applyFont="1" applyFill="1" applyBorder="1"/>
    <xf numFmtId="0" fontId="40" fillId="0" borderId="41" xfId="0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165" fontId="40" fillId="0" borderId="42" xfId="1" applyFont="1" applyFill="1" applyBorder="1" applyAlignment="1">
      <alignment horizontal="center" vertical="center"/>
    </xf>
    <xf numFmtId="165" fontId="40" fillId="0" borderId="43" xfId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165" fontId="5" fillId="4" borderId="37" xfId="1" applyFont="1" applyFill="1" applyBorder="1" applyAlignment="1">
      <alignment horizontal="left" vertical="center"/>
    </xf>
    <xf numFmtId="165" fontId="5" fillId="4" borderId="37" xfId="1" applyFont="1" applyFill="1" applyBorder="1"/>
    <xf numFmtId="0" fontId="5" fillId="4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vertical="center" wrapText="1"/>
    </xf>
    <xf numFmtId="165" fontId="5" fillId="4" borderId="39" xfId="1" applyFont="1" applyFill="1" applyBorder="1" applyAlignment="1">
      <alignment horizontal="center"/>
    </xf>
    <xf numFmtId="165" fontId="5" fillId="4" borderId="40" xfId="1" applyFont="1" applyFill="1" applyBorder="1"/>
    <xf numFmtId="0" fontId="0" fillId="0" borderId="15" xfId="0" applyBorder="1"/>
    <xf numFmtId="0" fontId="0" fillId="4" borderId="16" xfId="0" applyFill="1" applyBorder="1"/>
    <xf numFmtId="0" fontId="0" fillId="4" borderId="57" xfId="0" applyFill="1" applyBorder="1"/>
    <xf numFmtId="0" fontId="0" fillId="0" borderId="35" xfId="0" applyBorder="1"/>
    <xf numFmtId="0" fontId="0" fillId="0" borderId="34" xfId="0" applyBorder="1"/>
    <xf numFmtId="0" fontId="8" fillId="0" borderId="0" xfId="0" applyFont="1" applyAlignment="1">
      <alignment horizontal="center" vertical="center"/>
    </xf>
    <xf numFmtId="44" fontId="52" fillId="0" borderId="44" xfId="0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65" fontId="12" fillId="19" borderId="1" xfId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2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  <xf numFmtId="0" fontId="13" fillId="20" borderId="45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47" fillId="20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0" fillId="0" borderId="7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40" fillId="0" borderId="7" xfId="0" applyFont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12" fillId="0" borderId="0" xfId="1" applyFont="1" applyAlignment="1">
      <alignment horizontal="center"/>
    </xf>
    <xf numFmtId="0" fontId="13" fillId="20" borderId="51" xfId="0" applyFont="1" applyFill="1" applyBorder="1" applyAlignment="1">
      <alignment horizontal="center"/>
    </xf>
    <xf numFmtId="0" fontId="13" fillId="20" borderId="7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3" fillId="20" borderId="48" xfId="0" applyFont="1" applyFill="1" applyBorder="1" applyAlignment="1">
      <alignment horizontal="center" vertical="center"/>
    </xf>
    <xf numFmtId="0" fontId="13" fillId="20" borderId="49" xfId="0" applyFont="1" applyFill="1" applyBorder="1" applyAlignment="1">
      <alignment horizontal="center" vertical="center"/>
    </xf>
    <xf numFmtId="0" fontId="13" fillId="20" borderId="50" xfId="0" applyFont="1" applyFill="1" applyBorder="1" applyAlignment="1">
      <alignment horizontal="center" vertical="center"/>
    </xf>
    <xf numFmtId="0" fontId="40" fillId="0" borderId="3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4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56" fillId="20" borderId="1" xfId="0" applyFont="1" applyFill="1" applyBorder="1" applyAlignment="1">
      <alignment horizontal="center" vertical="center"/>
    </xf>
    <xf numFmtId="0" fontId="42" fillId="19" borderId="2" xfId="0" applyFont="1" applyFill="1" applyBorder="1" applyAlignment="1">
      <alignment horizontal="center" vertical="center"/>
    </xf>
    <xf numFmtId="0" fontId="42" fillId="19" borderId="17" xfId="0" applyFont="1" applyFill="1" applyBorder="1" applyAlignment="1">
      <alignment horizontal="center" vertical="center"/>
    </xf>
    <xf numFmtId="10" fontId="42" fillId="19" borderId="7" xfId="2" applyNumberFormat="1" applyFont="1" applyFill="1" applyBorder="1" applyAlignment="1">
      <alignment horizontal="center"/>
    </xf>
    <xf numFmtId="10" fontId="42" fillId="19" borderId="8" xfId="2" applyNumberFormat="1" applyFont="1" applyFill="1" applyBorder="1" applyAlignment="1">
      <alignment horizontal="center"/>
    </xf>
    <xf numFmtId="10" fontId="42" fillId="19" borderId="9" xfId="2" applyNumberFormat="1" applyFont="1" applyFill="1" applyBorder="1" applyAlignment="1">
      <alignment horizontal="center"/>
    </xf>
    <xf numFmtId="10" fontId="42" fillId="19" borderId="6" xfId="2" applyNumberFormat="1" applyFont="1" applyFill="1" applyBorder="1" applyAlignment="1">
      <alignment horizontal="center"/>
    </xf>
    <xf numFmtId="10" fontId="42" fillId="19" borderId="11" xfId="2" applyNumberFormat="1" applyFont="1" applyFill="1" applyBorder="1" applyAlignment="1">
      <alignment horizontal="center"/>
    </xf>
    <xf numFmtId="10" fontId="42" fillId="19" borderId="12" xfId="2" applyNumberFormat="1" applyFont="1" applyFill="1" applyBorder="1" applyAlignment="1">
      <alignment horizontal="center"/>
    </xf>
    <xf numFmtId="0" fontId="56" fillId="20" borderId="7" xfId="0" applyFont="1" applyFill="1" applyBorder="1" applyAlignment="1">
      <alignment horizontal="center" vertical="center"/>
    </xf>
    <xf numFmtId="0" fontId="56" fillId="20" borderId="8" xfId="0" applyFont="1" applyFill="1" applyBorder="1" applyAlignment="1">
      <alignment horizontal="center" vertical="center"/>
    </xf>
    <xf numFmtId="0" fontId="56" fillId="20" borderId="6" xfId="0" applyFont="1" applyFill="1" applyBorder="1" applyAlignment="1">
      <alignment horizontal="center" vertical="center"/>
    </xf>
    <xf numFmtId="0" fontId="56" fillId="20" borderId="11" xfId="0" applyFont="1" applyFill="1" applyBorder="1" applyAlignment="1">
      <alignment horizontal="center" vertical="center"/>
    </xf>
    <xf numFmtId="8" fontId="42" fillId="19" borderId="7" xfId="0" applyNumberFormat="1" applyFont="1" applyFill="1" applyBorder="1" applyAlignment="1">
      <alignment horizontal="center"/>
    </xf>
    <xf numFmtId="8" fontId="42" fillId="19" borderId="8" xfId="0" applyNumberFormat="1" applyFont="1" applyFill="1" applyBorder="1" applyAlignment="1">
      <alignment horizontal="center"/>
    </xf>
    <xf numFmtId="8" fontId="42" fillId="19" borderId="9" xfId="0" applyNumberFormat="1" applyFont="1" applyFill="1" applyBorder="1" applyAlignment="1">
      <alignment horizontal="center"/>
    </xf>
    <xf numFmtId="8" fontId="42" fillId="19" borderId="6" xfId="0" applyNumberFormat="1" applyFont="1" applyFill="1" applyBorder="1" applyAlignment="1">
      <alignment horizontal="center"/>
    </xf>
    <xf numFmtId="8" fontId="42" fillId="19" borderId="11" xfId="0" applyNumberFormat="1" applyFont="1" applyFill="1" applyBorder="1" applyAlignment="1">
      <alignment horizontal="center"/>
    </xf>
    <xf numFmtId="8" fontId="42" fillId="19" borderId="12" xfId="0" applyNumberFormat="1" applyFont="1" applyFill="1" applyBorder="1" applyAlignment="1">
      <alignment horizontal="center"/>
    </xf>
    <xf numFmtId="0" fontId="42" fillId="19" borderId="2" xfId="0" applyFont="1" applyFill="1" applyBorder="1" applyAlignment="1">
      <alignment horizontal="center"/>
    </xf>
    <xf numFmtId="0" fontId="42" fillId="19" borderId="17" xfId="0" applyFont="1" applyFill="1" applyBorder="1" applyAlignment="1">
      <alignment horizontal="center"/>
    </xf>
    <xf numFmtId="4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10" fontId="12" fillId="8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44" fontId="0" fillId="4" borderId="11" xfId="0" applyNumberFormat="1" applyFill="1" applyBorder="1" applyAlignment="1">
      <alignment horizontal="center"/>
    </xf>
    <xf numFmtId="0" fontId="40" fillId="0" borderId="20" xfId="0" applyFont="1" applyBorder="1" applyAlignment="1">
      <alignment horizontal="center" vertical="center"/>
    </xf>
    <xf numFmtId="10" fontId="0" fillId="0" borderId="32" xfId="2" applyNumberFormat="1" applyFont="1" applyBorder="1" applyAlignment="1">
      <alignment horizontal="center"/>
    </xf>
    <xf numFmtId="165" fontId="0" fillId="0" borderId="32" xfId="1" applyFont="1" applyBorder="1" applyAlignment="1">
      <alignment horizontal="center"/>
    </xf>
    <xf numFmtId="0" fontId="13" fillId="20" borderId="2" xfId="0" applyFont="1" applyFill="1" applyBorder="1" applyAlignment="1">
      <alignment horizontal="center" vertical="center" textRotation="90"/>
    </xf>
    <xf numFmtId="0" fontId="13" fillId="20" borderId="25" xfId="0" applyFont="1" applyFill="1" applyBorder="1" applyAlignment="1">
      <alignment horizontal="center" vertical="center" textRotation="90"/>
    </xf>
    <xf numFmtId="0" fontId="13" fillId="20" borderId="17" xfId="0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/>
    </xf>
  </cellXfs>
  <cellStyles count="6">
    <cellStyle name="Hiperlink" xfId="3" builtinId="8"/>
    <cellStyle name="Moeda" xfId="1" builtinId="4"/>
    <cellStyle name="Moeda 2" xfId="4"/>
    <cellStyle name="Normal" xfId="0" builtinId="0"/>
    <cellStyle name="Porcentagem" xfId="2" builtinId="5"/>
    <cellStyle name="Vírgula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do Capital Investido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7699115044247787E-2"/>
                  <c:y val="2.5369982237017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A8-4AC9-A3B9-670B077B9C42}"/>
                </c:ext>
              </c:extLst>
            </c:dLbl>
            <c:dLbl>
              <c:idx val="1"/>
              <c:layout>
                <c:manualLayout>
                  <c:x val="1.769772141314194E-3"/>
                  <c:y val="2.0295985789613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A8-4AC9-A3B9-670B077B9C42}"/>
                </c:ext>
              </c:extLst>
            </c:dLbl>
            <c:dLbl>
              <c:idx val="2"/>
              <c:layout>
                <c:manualLayout>
                  <c:x val="-3.5398230088495657E-3"/>
                  <c:y val="2.2832984013315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A8-4AC9-A3B9-670B077B9C42}"/>
                </c:ext>
              </c:extLst>
            </c:dLbl>
            <c:dLbl>
              <c:idx val="6"/>
              <c:layout>
                <c:manualLayout>
                  <c:x val="-3.5398230088495657E-3"/>
                  <c:y val="-2.790698046071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A8-4AC9-A3B9-670B077B9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Indíces!$H$17:$M$17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Indíces!$H$18:$M$18</c:f>
              <c:numCache>
                <c:formatCode>_("R$"* #,##0.00_);_("R$"* \(#,##0.00\);_("R$"* "-"??_);_(@_)</c:formatCode>
                <c:ptCount val="6"/>
                <c:pt idx="0" formatCode="#,##0.00_ ;\-#,##0.00\ 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A8-4AC9-A3B9-670B077B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98256"/>
        <c:axId val="294501784"/>
      </c:scatterChart>
      <c:valAx>
        <c:axId val="2944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Anos</a:t>
                </a:r>
              </a:p>
            </c:rich>
          </c:tx>
          <c:layout>
            <c:manualLayout>
              <c:xMode val="edge"/>
              <c:yMode val="edge"/>
              <c:x val="0.43503045083966391"/>
              <c:y val="0.94201161186084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501784"/>
        <c:crossesAt val="-400000"/>
        <c:crossBetween val="midCat"/>
      </c:valAx>
      <c:valAx>
        <c:axId val="2945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Capital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_ ;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498256"/>
        <c:crossesAt val="0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1068917</xdr:colOff>
      <xdr:row>19</xdr:row>
      <xdr:rowOff>67733</xdr:rowOff>
    </xdr:from>
    <xdr:to>
      <xdr:col>13</xdr:col>
      <xdr:colOff>747183</xdr:colOff>
      <xdr:row>57</xdr:row>
      <xdr:rowOff>12699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3944-7320-428E-88EC-397228AE0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eo\Google%20Drive\Aulas\2018\4&#186;%20ANO%20ADM%20-%20TCC%20FINAN&#199;AS\Modelo%20Financei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40002646\Documents\Monique%20Particular\Tcc%20Alan%20e%20Carol\Financeiro\Revis&#227;o%20Planilhas%20Financeiras%20Sun%20L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40002646\Downloads\Financeiro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imento Inicial"/>
      <sheetName val="Previsão de demanda"/>
      <sheetName val="Fluxo Ano 01"/>
      <sheetName val="Fluxo Ano 02"/>
      <sheetName val="Fluxo Ano 03"/>
      <sheetName val="Fluxo Ano 04"/>
      <sheetName val="Fluxo Ano 05"/>
      <sheetName val="Ponto de equilibrio"/>
      <sheetName val="Calculo de custo"/>
      <sheetName val="DRE"/>
      <sheetName val="Balanço Patrimonial"/>
      <sheetName val="PayBack, VPL, TIR"/>
      <sheetName val="Planilha2"/>
      <sheetName val="Planilha1"/>
    </sheetNames>
    <sheetDataSet>
      <sheetData sheetId="0">
        <row r="14">
          <cell r="F14">
            <v>6250</v>
          </cell>
        </row>
        <row r="15">
          <cell r="F15">
            <v>1600</v>
          </cell>
        </row>
        <row r="16">
          <cell r="F16">
            <v>3500</v>
          </cell>
        </row>
        <row r="17">
          <cell r="F17">
            <v>23300</v>
          </cell>
        </row>
        <row r="18">
          <cell r="F18">
            <v>27200</v>
          </cell>
        </row>
        <row r="19">
          <cell r="F19">
            <v>26000</v>
          </cell>
        </row>
        <row r="20">
          <cell r="F20">
            <v>26000</v>
          </cell>
        </row>
        <row r="21">
          <cell r="F21">
            <v>35000</v>
          </cell>
        </row>
        <row r="22">
          <cell r="F22">
            <v>42000</v>
          </cell>
        </row>
        <row r="23">
          <cell r="F23">
            <v>5500</v>
          </cell>
        </row>
        <row r="24">
          <cell r="F24">
            <v>15980</v>
          </cell>
        </row>
        <row r="25">
          <cell r="F25">
            <v>3540</v>
          </cell>
        </row>
        <row r="26">
          <cell r="F26">
            <v>2550</v>
          </cell>
        </row>
        <row r="27">
          <cell r="F27">
            <v>1150</v>
          </cell>
        </row>
        <row r="28">
          <cell r="F28">
            <v>960</v>
          </cell>
        </row>
        <row r="29">
          <cell r="F29">
            <v>1495</v>
          </cell>
        </row>
        <row r="30">
          <cell r="F30">
            <v>560</v>
          </cell>
        </row>
        <row r="31">
          <cell r="F31">
            <v>1380</v>
          </cell>
        </row>
        <row r="32">
          <cell r="F32">
            <v>528</v>
          </cell>
        </row>
        <row r="33">
          <cell r="F33">
            <v>50</v>
          </cell>
        </row>
        <row r="34">
          <cell r="F34">
            <v>168</v>
          </cell>
        </row>
        <row r="35">
          <cell r="F35">
            <v>660</v>
          </cell>
        </row>
        <row r="36">
          <cell r="F36">
            <v>760</v>
          </cell>
        </row>
      </sheetData>
      <sheetData sheetId="1">
        <row r="26">
          <cell r="K26">
            <v>91528.287550666573</v>
          </cell>
        </row>
        <row r="27">
          <cell r="K27">
            <v>91912.860187434097</v>
          </cell>
        </row>
        <row r="28">
          <cell r="K28">
            <v>99027.453967632959</v>
          </cell>
        </row>
        <row r="29">
          <cell r="K29">
            <v>99508.169763592334</v>
          </cell>
        </row>
        <row r="30">
          <cell r="K30">
            <v>106238.1909070237</v>
          </cell>
        </row>
        <row r="31">
          <cell r="K31">
            <v>100950.31715147049</v>
          </cell>
        </row>
        <row r="32">
          <cell r="K32">
            <v>114218.07311994949</v>
          </cell>
        </row>
        <row r="33">
          <cell r="K33">
            <v>104507.61404156992</v>
          </cell>
        </row>
        <row r="34">
          <cell r="K34">
            <v>100085.02871874359</v>
          </cell>
        </row>
        <row r="35">
          <cell r="K35">
            <v>99796.599241167976</v>
          </cell>
        </row>
        <row r="36">
          <cell r="K36">
            <v>95662.443395917275</v>
          </cell>
        </row>
        <row r="37">
          <cell r="K37">
            <v>89413.138048445297</v>
          </cell>
        </row>
      </sheetData>
      <sheetData sheetId="2">
        <row r="36">
          <cell r="P36">
            <v>134706.9718642277</v>
          </cell>
        </row>
        <row r="38">
          <cell r="P38">
            <v>5640</v>
          </cell>
        </row>
        <row r="47">
          <cell r="P47">
            <v>0</v>
          </cell>
        </row>
      </sheetData>
      <sheetData sheetId="3">
        <row r="10">
          <cell r="P10">
            <v>146690.34000000003</v>
          </cell>
        </row>
        <row r="12">
          <cell r="P12">
            <v>26049.599999999995</v>
          </cell>
        </row>
        <row r="16">
          <cell r="P16">
            <v>30103.853588259502</v>
          </cell>
        </row>
        <row r="24">
          <cell r="P24">
            <v>36000</v>
          </cell>
        </row>
        <row r="26">
          <cell r="P26">
            <v>46608.408000000003</v>
          </cell>
        </row>
        <row r="31">
          <cell r="P31">
            <v>3780</v>
          </cell>
        </row>
        <row r="32">
          <cell r="P32">
            <v>113400</v>
          </cell>
        </row>
        <row r="33">
          <cell r="P33">
            <v>3780</v>
          </cell>
        </row>
        <row r="34">
          <cell r="P34">
            <v>12600</v>
          </cell>
        </row>
        <row r="36">
          <cell r="P36">
            <v>134706.9718642277</v>
          </cell>
        </row>
        <row r="37">
          <cell r="P37">
            <v>56573.69999999999</v>
          </cell>
        </row>
        <row r="38">
          <cell r="P38">
            <v>6091.2000000000007</v>
          </cell>
        </row>
        <row r="39">
          <cell r="P39">
            <v>216000</v>
          </cell>
        </row>
      </sheetData>
      <sheetData sheetId="4"/>
      <sheetData sheetId="5"/>
      <sheetData sheetId="6"/>
      <sheetData sheetId="7"/>
      <sheetData sheetId="8"/>
      <sheetData sheetId="9">
        <row r="3">
          <cell r="D3">
            <v>2544785.361938165</v>
          </cell>
        </row>
        <row r="7">
          <cell r="D7">
            <v>99722.865970038707</v>
          </cell>
        </row>
        <row r="8">
          <cell r="D8">
            <v>62610.812052074951</v>
          </cell>
        </row>
        <row r="9">
          <cell r="D9">
            <v>53440.492600701458</v>
          </cell>
        </row>
        <row r="28">
          <cell r="D28">
            <v>11650.696910870038</v>
          </cell>
        </row>
        <row r="32">
          <cell r="D32">
            <v>156493.31159292103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quinas e equipamentos"/>
      <sheetName val="infor"/>
      <sheetName val="estoque de mercadoria"/>
      <sheetName val="mat.escritório"/>
      <sheetName val="Capital social"/>
      <sheetName val="móveis e utensílios"/>
      <sheetName val="mkt"/>
      <sheetName val="depreciação"/>
      <sheetName val="custos variaveis"/>
      <sheetName val="gráfico"/>
      <sheetName val="custo fixo"/>
      <sheetName val="custos fixos anual"/>
      <sheetName val="CV ANUAL"/>
      <sheetName val="Investimento inicial"/>
      <sheetName val="Impostos"/>
      <sheetName val="Serviços Valores"/>
      <sheetName val="Serviços Executados"/>
      <sheetName val="RH"/>
      <sheetName val="Analise Financeira"/>
      <sheetName val="DRE"/>
      <sheetName val="FLUXO CAIXA"/>
      <sheetName val="Plan1"/>
      <sheetName val="emprestimo"/>
      <sheetName val="RECEITA"/>
      <sheetName val="Rece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 t="str">
            <v>Água</v>
          </cell>
        </row>
        <row r="7">
          <cell r="A7" t="str">
            <v>Energia Elétrica</v>
          </cell>
        </row>
        <row r="8">
          <cell r="A8" t="str">
            <v>Internet</v>
          </cell>
        </row>
        <row r="9">
          <cell r="A9" t="str">
            <v>Telefone</v>
          </cell>
        </row>
        <row r="10">
          <cell r="A10" t="str">
            <v>Material de Escritório</v>
          </cell>
        </row>
        <row r="12">
          <cell r="A12" t="str">
            <v>Contador</v>
          </cell>
        </row>
        <row r="13">
          <cell r="A13" t="str">
            <v>Aluguel</v>
          </cell>
        </row>
        <row r="14">
          <cell r="A14" t="str">
            <v>Empréstimo</v>
          </cell>
        </row>
        <row r="15">
          <cell r="A15" t="str">
            <v>Despesa com Marketing</v>
          </cell>
        </row>
        <row r="16">
          <cell r="A16" t="str">
            <v>Salário + Encargos</v>
          </cell>
        </row>
        <row r="17">
          <cell r="A17" t="str">
            <v>IPVA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imento Inicial"/>
      <sheetName val="Previsão de demanda"/>
      <sheetName val="Calculo de custo"/>
      <sheetName val="Fluxo de Caixa 01"/>
      <sheetName val="Fluxo de Caixa 02"/>
      <sheetName val="Simples"/>
      <sheetName val="Balanço Patrimonial"/>
      <sheetName val="DRE"/>
      <sheetName val="Razonete Inicial"/>
      <sheetName val="Razonetes Ano1"/>
      <sheetName val="Razonetes Ano 2"/>
      <sheetName val="Índices"/>
      <sheetName val="Ponto de Equilibrio"/>
    </sheetNames>
    <sheetDataSet>
      <sheetData sheetId="0">
        <row r="3">
          <cell r="G3" t="str">
            <v>Capital de Giro</v>
          </cell>
        </row>
        <row r="6">
          <cell r="G6" t="str">
            <v>Máquinas e Equip.</v>
          </cell>
        </row>
      </sheetData>
      <sheetData sheetId="1"/>
      <sheetData sheetId="2"/>
      <sheetData sheetId="3">
        <row r="19">
          <cell r="A19" t="str">
            <v>Simples</v>
          </cell>
        </row>
        <row r="20">
          <cell r="A20" t="str">
            <v>Comissão sobre Vendas</v>
          </cell>
        </row>
        <row r="30">
          <cell r="A30" t="str">
            <v>Contador</v>
          </cell>
        </row>
        <row r="31">
          <cell r="A31" t="str">
            <v>Material de escritório</v>
          </cell>
        </row>
        <row r="32">
          <cell r="A32" t="str">
            <v>Empréstimo</v>
          </cell>
        </row>
      </sheetData>
      <sheetData sheetId="4"/>
      <sheetData sheetId="5"/>
      <sheetData sheetId="6">
        <row r="10">
          <cell r="H10" t="str">
            <v>(Provisão para Devedores Duvidosos)</v>
          </cell>
        </row>
        <row r="27">
          <cell r="H27" t="str">
            <v>(Depreciação das Máquinas e Equip.)</v>
          </cell>
        </row>
        <row r="28">
          <cell r="H28" t="str">
            <v>(Depreciação dos Móveis e Utens.)</v>
          </cell>
        </row>
      </sheetData>
      <sheetData sheetId="7"/>
      <sheetData sheetId="8"/>
      <sheetData sheetId="9">
        <row r="3">
          <cell r="S3" t="str">
            <v>Matéria Prima</v>
          </cell>
          <cell r="T3">
            <v>0</v>
          </cell>
          <cell r="X3" t="str">
            <v>Máquinas e Equip.</v>
          </cell>
          <cell r="Y3">
            <v>0</v>
          </cell>
          <cell r="AC3" t="str">
            <v>Moveis e Utens.</v>
          </cell>
          <cell r="AD3">
            <v>0</v>
          </cell>
        </row>
        <row r="11">
          <cell r="S11" t="str">
            <v>Capital Social</v>
          </cell>
          <cell r="T11">
            <v>0</v>
          </cell>
          <cell r="X11" t="str">
            <v>Clientes</v>
          </cell>
          <cell r="Y11">
            <v>0</v>
          </cell>
        </row>
      </sheetData>
      <sheetData sheetId="10"/>
      <sheetData sheetId="11">
        <row r="17">
          <cell r="F17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jornalcontabil.com.br/calculo-do-simples-nacional-2020/" TargetMode="External"/><Relationship Id="rId1" Type="http://schemas.openxmlformats.org/officeDocument/2006/relationships/hyperlink" Target="https://www.contabilix.com.br/contabilidade-online/anexo-5-do-simples-nacion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4"/>
  <sheetViews>
    <sheetView topLeftCell="B1" zoomScale="130" zoomScaleNormal="130" workbookViewId="0">
      <selection activeCell="D3" sqref="D3:L3"/>
    </sheetView>
  </sheetViews>
  <sheetFormatPr defaultRowHeight="15"/>
  <cols>
    <col min="3" max="3" width="23.5703125" customWidth="1"/>
  </cols>
  <sheetData>
    <row r="2" spans="3:12" ht="15.75" thickBot="1"/>
    <row r="3" spans="3:12" ht="37.5" customHeight="1" thickBot="1">
      <c r="C3" s="477" t="s">
        <v>488</v>
      </c>
      <c r="D3" s="481" t="s">
        <v>498</v>
      </c>
      <c r="E3" s="482"/>
      <c r="F3" s="482"/>
      <c r="G3" s="482"/>
      <c r="H3" s="482"/>
      <c r="I3" s="482"/>
      <c r="J3" s="482"/>
      <c r="K3" s="482"/>
      <c r="L3" s="483"/>
    </row>
    <row r="5" spans="3:12" ht="15.75" thickBot="1"/>
    <row r="6" spans="3:12">
      <c r="C6" s="476" t="s">
        <v>489</v>
      </c>
      <c r="D6" s="494"/>
      <c r="E6" s="495"/>
      <c r="F6" s="495"/>
      <c r="G6" s="495"/>
      <c r="H6" s="495"/>
      <c r="I6" s="495"/>
      <c r="J6" s="495"/>
      <c r="K6" s="495"/>
      <c r="L6" s="496"/>
    </row>
    <row r="7" spans="3:12">
      <c r="C7" s="179"/>
      <c r="D7" s="491"/>
      <c r="E7" s="492"/>
      <c r="F7" s="492"/>
      <c r="G7" s="492"/>
      <c r="H7" s="492"/>
      <c r="I7" s="492"/>
      <c r="J7" s="492"/>
      <c r="K7" s="492"/>
      <c r="L7" s="493"/>
    </row>
    <row r="8" spans="3:12">
      <c r="C8" s="179"/>
      <c r="D8" s="491"/>
      <c r="E8" s="492"/>
      <c r="F8" s="492"/>
      <c r="G8" s="492"/>
      <c r="H8" s="492"/>
      <c r="I8" s="492"/>
      <c r="J8" s="492"/>
      <c r="K8" s="492"/>
      <c r="L8" s="493"/>
    </row>
    <row r="9" spans="3:12">
      <c r="C9" s="179"/>
      <c r="D9" s="491"/>
      <c r="E9" s="492"/>
      <c r="F9" s="492"/>
      <c r="G9" s="492"/>
      <c r="H9" s="492"/>
      <c r="I9" s="492"/>
      <c r="J9" s="492"/>
      <c r="K9" s="492"/>
      <c r="L9" s="493"/>
    </row>
    <row r="10" spans="3:12">
      <c r="C10" s="179"/>
      <c r="D10" s="491"/>
      <c r="E10" s="492"/>
      <c r="F10" s="492"/>
      <c r="G10" s="492"/>
      <c r="H10" s="492"/>
      <c r="I10" s="492"/>
      <c r="J10" s="492"/>
      <c r="K10" s="492"/>
      <c r="L10" s="493"/>
    </row>
    <row r="11" spans="3:12" ht="15.75" thickBot="1">
      <c r="C11" s="182"/>
      <c r="D11" s="484"/>
      <c r="E11" s="485"/>
      <c r="F11" s="485"/>
      <c r="G11" s="485"/>
      <c r="H11" s="485"/>
      <c r="I11" s="485"/>
      <c r="J11" s="485"/>
      <c r="K11" s="485"/>
      <c r="L11" s="486"/>
    </row>
    <row r="12" spans="3:12" ht="15.75" thickBot="1">
      <c r="D12" s="487"/>
      <c r="E12" s="487"/>
      <c r="F12" s="487"/>
      <c r="G12" s="487"/>
      <c r="H12" s="487"/>
      <c r="I12" s="487"/>
      <c r="J12" s="487"/>
      <c r="K12" s="487"/>
      <c r="L12" s="487"/>
    </row>
    <row r="13" spans="3:12" ht="15.75" thickBot="1">
      <c r="C13" s="473" t="s">
        <v>490</v>
      </c>
      <c r="D13" s="488" t="s">
        <v>492</v>
      </c>
      <c r="E13" s="489"/>
      <c r="F13" s="489"/>
      <c r="G13" s="489"/>
      <c r="H13" s="489"/>
      <c r="I13" s="489"/>
      <c r="J13" s="489" t="s">
        <v>491</v>
      </c>
      <c r="K13" s="489"/>
      <c r="L13" s="490"/>
    </row>
    <row r="14" spans="3:12" ht="15.75" thickBot="1">
      <c r="C14" s="474"/>
      <c r="L14" s="180"/>
    </row>
    <row r="15" spans="3:12" ht="15.75" thickBot="1">
      <c r="C15" s="474"/>
      <c r="D15" s="481"/>
      <c r="E15" s="482"/>
      <c r="F15" s="482"/>
      <c r="G15" s="482"/>
      <c r="H15" s="482"/>
      <c r="I15" s="483"/>
      <c r="J15" s="481"/>
      <c r="K15" s="482"/>
      <c r="L15" s="483"/>
    </row>
    <row r="16" spans="3:12" ht="15.75" thickBot="1">
      <c r="C16" s="474"/>
      <c r="L16" s="180"/>
    </row>
    <row r="17" spans="3:12" ht="15.75" thickBot="1">
      <c r="C17" s="474"/>
      <c r="D17" s="481"/>
      <c r="E17" s="482"/>
      <c r="F17" s="482"/>
      <c r="G17" s="482"/>
      <c r="H17" s="482"/>
      <c r="I17" s="483"/>
      <c r="J17" s="481"/>
      <c r="K17" s="482"/>
      <c r="L17" s="483"/>
    </row>
    <row r="18" spans="3:12" ht="15.75" thickBot="1">
      <c r="C18" s="474"/>
      <c r="L18" s="180"/>
    </row>
    <row r="19" spans="3:12" ht="15.75" thickBot="1">
      <c r="C19" s="474"/>
      <c r="D19" s="481"/>
      <c r="E19" s="482"/>
      <c r="F19" s="482"/>
      <c r="G19" s="482"/>
      <c r="H19" s="482"/>
      <c r="I19" s="483"/>
      <c r="J19" s="481"/>
      <c r="K19" s="482"/>
      <c r="L19" s="483"/>
    </row>
    <row r="20" spans="3:12" ht="15.75" thickBot="1">
      <c r="C20" s="474"/>
      <c r="L20" s="180"/>
    </row>
    <row r="21" spans="3:12" ht="15.75" thickBot="1">
      <c r="C21" s="474"/>
      <c r="D21" s="481"/>
      <c r="E21" s="482"/>
      <c r="F21" s="482"/>
      <c r="G21" s="482"/>
      <c r="H21" s="482"/>
      <c r="I21" s="483"/>
      <c r="J21" s="481"/>
      <c r="K21" s="482"/>
      <c r="L21" s="483"/>
    </row>
    <row r="22" spans="3:12" ht="15.75" thickBot="1">
      <c r="C22" s="474"/>
      <c r="L22" s="180"/>
    </row>
    <row r="23" spans="3:12" ht="15.75" thickBot="1">
      <c r="C23" s="474"/>
      <c r="D23" s="481"/>
      <c r="E23" s="482"/>
      <c r="F23" s="482"/>
      <c r="G23" s="482"/>
      <c r="H23" s="482"/>
      <c r="I23" s="483"/>
      <c r="J23" s="481"/>
      <c r="K23" s="482"/>
      <c r="L23" s="483"/>
    </row>
    <row r="24" spans="3:12" ht="15.75" thickBot="1">
      <c r="C24" s="475"/>
      <c r="D24" s="183"/>
      <c r="E24" s="183"/>
      <c r="F24" s="183"/>
      <c r="G24" s="183"/>
      <c r="H24" s="183"/>
      <c r="I24" s="183"/>
      <c r="J24" s="183"/>
      <c r="K24" s="183"/>
      <c r="L24" s="185"/>
    </row>
  </sheetData>
  <mergeCells count="20">
    <mergeCell ref="D10:L10"/>
    <mergeCell ref="D3:L3"/>
    <mergeCell ref="D6:L6"/>
    <mergeCell ref="D7:L7"/>
    <mergeCell ref="D8:L8"/>
    <mergeCell ref="D9:L9"/>
    <mergeCell ref="D11:L11"/>
    <mergeCell ref="D12:L12"/>
    <mergeCell ref="D13:I13"/>
    <mergeCell ref="J13:L13"/>
    <mergeCell ref="D15:I15"/>
    <mergeCell ref="J15:L15"/>
    <mergeCell ref="D23:I23"/>
    <mergeCell ref="J23:L23"/>
    <mergeCell ref="D17:I17"/>
    <mergeCell ref="J17:L17"/>
    <mergeCell ref="D19:I19"/>
    <mergeCell ref="J19:L19"/>
    <mergeCell ref="D21:I21"/>
    <mergeCell ref="J21:L2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rgb="FF00B0F0"/>
  </sheetPr>
  <dimension ref="A1:E69"/>
  <sheetViews>
    <sheetView topLeftCell="B1" workbookViewId="0">
      <selection activeCell="G13" sqref="G12:G13"/>
    </sheetView>
  </sheetViews>
  <sheetFormatPr defaultColWidth="9.140625" defaultRowHeight="15"/>
  <cols>
    <col min="1" max="1" width="7.28515625" bestFit="1" customWidth="1"/>
    <col min="2" max="2" width="25.140625" bestFit="1" customWidth="1"/>
    <col min="3" max="3" width="21.140625" style="6" customWidth="1"/>
    <col min="4" max="4" width="22.42578125" style="6" customWidth="1"/>
    <col min="5" max="5" width="18.28515625" style="6" customWidth="1"/>
  </cols>
  <sheetData>
    <row r="1" spans="1:5">
      <c r="A1" s="504" t="s">
        <v>26</v>
      </c>
      <c r="B1" s="325"/>
      <c r="C1" s="458">
        <v>2022</v>
      </c>
      <c r="D1" s="458">
        <v>2023</v>
      </c>
      <c r="E1" s="459">
        <v>2024</v>
      </c>
    </row>
    <row r="2" spans="1:5">
      <c r="A2" s="505"/>
      <c r="B2" s="325" t="s">
        <v>0</v>
      </c>
      <c r="C2" s="325" t="s">
        <v>484</v>
      </c>
      <c r="D2" s="325" t="s">
        <v>484</v>
      </c>
      <c r="E2" s="325" t="s">
        <v>484</v>
      </c>
    </row>
    <row r="3" spans="1:5">
      <c r="A3" s="505"/>
      <c r="B3" s="327" t="s">
        <v>1</v>
      </c>
      <c r="C3" s="328">
        <f>Mercado!E9+Mercado!E10+Mercado!E11</f>
        <v>12650</v>
      </c>
      <c r="D3" s="479">
        <f>(C3)*(Mercado!$C$2+1)</f>
        <v>13345.75</v>
      </c>
      <c r="E3" s="479">
        <f>(D3)*(Mercado!$C$3+1)</f>
        <v>14213.223749999999</v>
      </c>
    </row>
    <row r="4" spans="1:5">
      <c r="A4" s="505"/>
      <c r="B4" s="327" t="s">
        <v>2</v>
      </c>
      <c r="C4" s="328">
        <f>Mercado!E10+Mercado!E11+Mercado!E12</f>
        <v>13100</v>
      </c>
      <c r="D4" s="479">
        <f>(C4)*(Mercado!$C$2+1)</f>
        <v>13820.5</v>
      </c>
      <c r="E4" s="479">
        <f>(D4)*(Mercado!$C$3+1)</f>
        <v>14718.832499999999</v>
      </c>
    </row>
    <row r="5" spans="1:5">
      <c r="A5" s="505"/>
      <c r="B5" s="327" t="s">
        <v>3</v>
      </c>
      <c r="C5" s="328">
        <f>Mercado!E11+Mercado!E12+Mercado!E13</f>
        <v>14100</v>
      </c>
      <c r="D5" s="479">
        <f>(C5)*(Mercado!$C$2+1)</f>
        <v>14875.5</v>
      </c>
      <c r="E5" s="479">
        <f>(D5)*(Mercado!$C$3+1)</f>
        <v>15842.407499999999</v>
      </c>
    </row>
    <row r="6" spans="1:5">
      <c r="A6" s="505"/>
      <c r="B6" s="327" t="s">
        <v>4</v>
      </c>
      <c r="C6" s="328">
        <f>Mercado!E12+Mercado!E13+Mercado!E14</f>
        <v>15800</v>
      </c>
      <c r="D6" s="479">
        <f>(C6)*(Mercado!$C$2+1)</f>
        <v>16669</v>
      </c>
      <c r="E6" s="479">
        <f>(D6)*(Mercado!$C$3+1)</f>
        <v>17752.485000000001</v>
      </c>
    </row>
    <row r="7" spans="1:5">
      <c r="A7" s="505"/>
      <c r="B7" s="327" t="s">
        <v>5</v>
      </c>
      <c r="C7" s="328">
        <f>Mercado!E13+Mercado!E14+Mercado!E15</f>
        <v>16250</v>
      </c>
      <c r="D7" s="479">
        <f>(C7)*(Mercado!$C$2+1)</f>
        <v>17143.75</v>
      </c>
      <c r="E7" s="479">
        <f>(D7)*(Mercado!$C$3+1)</f>
        <v>18258.09375</v>
      </c>
    </row>
    <row r="8" spans="1:5">
      <c r="A8" s="505"/>
      <c r="B8" s="327" t="s">
        <v>6</v>
      </c>
      <c r="C8" s="328">
        <f>Mercado!E14+Mercado!E15+Mercado!E16</f>
        <v>17250</v>
      </c>
      <c r="D8" s="479">
        <f>(C8)*(Mercado!$C$2+1)</f>
        <v>18198.75</v>
      </c>
      <c r="E8" s="479">
        <f>(D8)*(Mercado!$C$3+1)</f>
        <v>19381.668750000001</v>
      </c>
    </row>
    <row r="9" spans="1:5">
      <c r="A9" s="505"/>
      <c r="B9" s="327" t="s">
        <v>7</v>
      </c>
      <c r="C9" s="328">
        <f>Mercado!E15+Mercado!E16+Mercado!E17</f>
        <v>18950</v>
      </c>
      <c r="D9" s="479">
        <f>(C9)*(Mercado!$C$2+1)</f>
        <v>19992.25</v>
      </c>
      <c r="E9" s="479">
        <f>(D9)*(Mercado!$C$3+1)</f>
        <v>21291.74625</v>
      </c>
    </row>
    <row r="10" spans="1:5">
      <c r="A10" s="505"/>
      <c r="B10" s="327" t="s">
        <v>8</v>
      </c>
      <c r="C10" s="328">
        <f>Mercado!E16+Mercado!E17+Mercado!E18</f>
        <v>19400</v>
      </c>
      <c r="D10" s="479">
        <f>(C10)*(Mercado!$C$2+1)</f>
        <v>20467</v>
      </c>
      <c r="E10" s="479">
        <f>(D10)*(Mercado!$C$3+1)</f>
        <v>21797.355</v>
      </c>
    </row>
    <row r="11" spans="1:5">
      <c r="A11" s="505"/>
      <c r="B11" s="327" t="s">
        <v>9</v>
      </c>
      <c r="C11" s="328">
        <f>Mercado!E17+Mercado!E18+Mercado!E19</f>
        <v>20400</v>
      </c>
      <c r="D11" s="479">
        <f>(C11)*(Mercado!$C$2+1)</f>
        <v>21522</v>
      </c>
      <c r="E11" s="479">
        <f>(D11)*(Mercado!$C$3+1)</f>
        <v>22920.93</v>
      </c>
    </row>
    <row r="12" spans="1:5">
      <c r="A12" s="505"/>
      <c r="B12" s="327" t="s">
        <v>10</v>
      </c>
      <c r="C12" s="328">
        <f>Mercado!E18+Mercado!E19+Mercado!E20</f>
        <v>22100</v>
      </c>
      <c r="D12" s="479">
        <f>(C12)*(Mercado!$C$2+1)</f>
        <v>23315.5</v>
      </c>
      <c r="E12" s="479">
        <f>(D12)*(Mercado!$C$3+1)</f>
        <v>24831.0075</v>
      </c>
    </row>
    <row r="13" spans="1:5">
      <c r="A13" s="505"/>
      <c r="B13" s="327" t="s">
        <v>11</v>
      </c>
      <c r="C13" s="328">
        <f>Mercado!E19+Mercado!E20+Mercado!E21</f>
        <v>22550</v>
      </c>
      <c r="D13" s="479">
        <f>(C13)*(Mercado!$C$2+1)</f>
        <v>23790.25</v>
      </c>
      <c r="E13" s="479">
        <f>(D13)*(Mercado!$C$3+1)</f>
        <v>25336.616249999999</v>
      </c>
    </row>
    <row r="14" spans="1:5">
      <c r="A14" s="505"/>
      <c r="B14" s="327" t="s">
        <v>12</v>
      </c>
      <c r="C14" s="328">
        <f>Mercado!E20+Mercado!E21+Mercado!E22</f>
        <v>23550</v>
      </c>
      <c r="D14" s="479">
        <f>(C14)*(Mercado!$C$2+1)</f>
        <v>24845.25</v>
      </c>
      <c r="E14" s="479">
        <f>(D14)*(Mercado!$C$3+1)</f>
        <v>26460.19125</v>
      </c>
    </row>
    <row r="15" spans="1:5">
      <c r="A15" s="505"/>
      <c r="B15" s="339" t="s">
        <v>13</v>
      </c>
      <c r="C15" s="344">
        <f>SUM(C3:C14)</f>
        <v>216100</v>
      </c>
      <c r="D15" s="344">
        <f t="shared" ref="D15:E15" si="0">SUM(D3:D14)</f>
        <v>227985.5</v>
      </c>
      <c r="E15" s="344">
        <f t="shared" si="0"/>
        <v>242804.5575</v>
      </c>
    </row>
    <row r="16" spans="1:5" hidden="1">
      <c r="A16" s="505"/>
      <c r="B16" s="329" t="s">
        <v>313</v>
      </c>
      <c r="C16" s="330" t="e">
        <f>C17-C18</f>
        <v>#REF!</v>
      </c>
      <c r="D16" s="330" t="e">
        <f t="shared" ref="D16:E16" si="1">D17-D18</f>
        <v>#REF!</v>
      </c>
      <c r="E16" s="330" t="e">
        <f t="shared" si="1"/>
        <v>#REF!</v>
      </c>
    </row>
    <row r="17" spans="1:5">
      <c r="A17" s="505"/>
      <c r="B17" s="325" t="s">
        <v>93</v>
      </c>
      <c r="C17" s="331" t="e">
        <f>Mercado!#REF!</f>
        <v>#REF!</v>
      </c>
      <c r="D17" s="331" t="e">
        <f>Mercado!#REF!</f>
        <v>#REF!</v>
      </c>
      <c r="E17" s="331" t="e">
        <f>Mercado!#REF!</f>
        <v>#REF!</v>
      </c>
    </row>
    <row r="18" spans="1:5" hidden="1">
      <c r="A18" s="505"/>
      <c r="B18" s="325" t="s">
        <v>94</v>
      </c>
      <c r="C18" s="332">
        <f>C19+C20</f>
        <v>10246.766086956522</v>
      </c>
      <c r="D18" s="332">
        <f t="shared" ref="D18:E18" si="2">D19+D20</f>
        <v>10708.303913043477</v>
      </c>
      <c r="E18" s="332">
        <f t="shared" si="2"/>
        <v>14569.05</v>
      </c>
    </row>
    <row r="19" spans="1:5" hidden="1">
      <c r="A19" s="505"/>
      <c r="B19" s="333" t="s">
        <v>194</v>
      </c>
      <c r="C19" s="334">
        <f>SUM('Calculo Custo Serviço'!G29:H29)</f>
        <v>851.61130434782592</v>
      </c>
      <c r="D19" s="334">
        <f>SUM('Calculo Custo Serviço'!G30:H30)</f>
        <v>1186.348695652174</v>
      </c>
      <c r="E19" s="334">
        <f>SUM('Calculo Custo Serviço'!G31:H31)</f>
        <v>2037.9599999999998</v>
      </c>
    </row>
    <row r="20" spans="1:5" hidden="1">
      <c r="A20" s="505"/>
      <c r="B20" s="333" t="s">
        <v>195</v>
      </c>
      <c r="C20" s="335">
        <f>'Calculo Custo Serviço'!E29</f>
        <v>9395.1547826086971</v>
      </c>
      <c r="D20" s="335">
        <f>'Calculo Custo Serviço'!E30</f>
        <v>9521.9552173913034</v>
      </c>
      <c r="E20" s="334">
        <f>'Calculo Custo Serviço'!E31</f>
        <v>12531.09</v>
      </c>
    </row>
    <row r="21" spans="1:5">
      <c r="B21" s="28"/>
      <c r="C21" s="106"/>
      <c r="D21" s="106"/>
      <c r="E21" s="30"/>
    </row>
    <row r="22" spans="1:5">
      <c r="B22" s="28"/>
      <c r="C22" s="106"/>
      <c r="D22" s="106"/>
      <c r="E22" s="30"/>
    </row>
    <row r="23" spans="1:5" hidden="1">
      <c r="A23" s="343"/>
      <c r="B23" s="333" t="s">
        <v>195</v>
      </c>
      <c r="C23" s="338" t="e">
        <f>Mercado!#REF!</f>
        <v>#REF!</v>
      </c>
      <c r="D23" s="338" t="e">
        <f>Mercado!#REF!</f>
        <v>#REF!</v>
      </c>
      <c r="E23" s="338" t="e">
        <f>Mercado!#REF!</f>
        <v>#REF!</v>
      </c>
    </row>
    <row r="25" spans="1:5" hidden="1"/>
    <row r="26" spans="1:5" hidden="1">
      <c r="A26" s="504" t="s">
        <v>379</v>
      </c>
      <c r="B26" s="325" t="s">
        <v>393</v>
      </c>
      <c r="C26" s="506" t="s">
        <v>389</v>
      </c>
      <c r="D26" s="506"/>
      <c r="E26" s="325" t="s">
        <v>394</v>
      </c>
    </row>
    <row r="27" spans="1:5" hidden="1">
      <c r="A27" s="505"/>
      <c r="B27" s="325" t="s">
        <v>0</v>
      </c>
      <c r="C27" s="325" t="s">
        <v>152</v>
      </c>
      <c r="D27" s="325" t="s">
        <v>121</v>
      </c>
      <c r="E27" s="325" t="s">
        <v>125</v>
      </c>
    </row>
    <row r="28" spans="1:5" hidden="1">
      <c r="A28" s="505"/>
      <c r="B28" s="327" t="s">
        <v>1</v>
      </c>
      <c r="C28" s="328" t="e">
        <f>Mercado!#REF!*faturamento!$C$42</f>
        <v>#REF!</v>
      </c>
      <c r="D28" s="328" t="e">
        <f>Mercado!#REF!*faturamento!$D$42</f>
        <v>#REF!</v>
      </c>
      <c r="E28" s="328" t="e">
        <f>Mercado!#REF!*faturamento!$E$42</f>
        <v>#REF!</v>
      </c>
    </row>
    <row r="29" spans="1:5" hidden="1">
      <c r="A29" s="505"/>
      <c r="B29" s="327" t="s">
        <v>2</v>
      </c>
      <c r="C29" s="328" t="e">
        <f>Mercado!#REF!*faturamento!$C$42</f>
        <v>#REF!</v>
      </c>
      <c r="D29" s="328" t="e">
        <f>Mercado!#REF!*faturamento!$D$42</f>
        <v>#REF!</v>
      </c>
      <c r="E29" s="328" t="e">
        <f>Mercado!#REF!*faturamento!$E$42</f>
        <v>#REF!</v>
      </c>
    </row>
    <row r="30" spans="1:5" hidden="1">
      <c r="A30" s="505"/>
      <c r="B30" s="327" t="s">
        <v>3</v>
      </c>
      <c r="C30" s="328" t="e">
        <f>Mercado!#REF!*faturamento!$C$42</f>
        <v>#REF!</v>
      </c>
      <c r="D30" s="328" t="e">
        <f>Mercado!#REF!*faturamento!$D$42</f>
        <v>#REF!</v>
      </c>
      <c r="E30" s="328" t="e">
        <f>Mercado!#REF!*faturamento!$E$42</f>
        <v>#REF!</v>
      </c>
    </row>
    <row r="31" spans="1:5" hidden="1">
      <c r="A31" s="505"/>
      <c r="B31" s="327" t="s">
        <v>4</v>
      </c>
      <c r="C31" s="328" t="e">
        <f>Mercado!#REF!*faturamento!$C$42</f>
        <v>#REF!</v>
      </c>
      <c r="D31" s="328" t="e">
        <f>Mercado!#REF!*faturamento!$D$42</f>
        <v>#REF!</v>
      </c>
      <c r="E31" s="328" t="e">
        <f>Mercado!#REF!*faturamento!$E$42</f>
        <v>#REF!</v>
      </c>
    </row>
    <row r="32" spans="1:5" hidden="1">
      <c r="A32" s="505"/>
      <c r="B32" s="327" t="s">
        <v>5</v>
      </c>
      <c r="C32" s="328" t="e">
        <f>Mercado!#REF!*faturamento!$C$42</f>
        <v>#REF!</v>
      </c>
      <c r="D32" s="328" t="e">
        <f>Mercado!#REF!*faturamento!$D$42</f>
        <v>#REF!</v>
      </c>
      <c r="E32" s="328" t="e">
        <f>Mercado!#REF!*faturamento!$E$42</f>
        <v>#REF!</v>
      </c>
    </row>
    <row r="33" spans="1:5" hidden="1">
      <c r="A33" s="505"/>
      <c r="B33" s="327" t="s">
        <v>6</v>
      </c>
      <c r="C33" s="328" t="e">
        <f>Mercado!#REF!*faturamento!$C$42</f>
        <v>#REF!</v>
      </c>
      <c r="D33" s="328" t="e">
        <f>Mercado!#REF!*faturamento!$D$42</f>
        <v>#REF!</v>
      </c>
      <c r="E33" s="328" t="e">
        <f>Mercado!#REF!*faturamento!$E$42</f>
        <v>#REF!</v>
      </c>
    </row>
    <row r="34" spans="1:5" hidden="1">
      <c r="A34" s="505"/>
      <c r="B34" s="327" t="s">
        <v>7</v>
      </c>
      <c r="C34" s="328" t="e">
        <f>Mercado!#REF!*faturamento!$C$42</f>
        <v>#REF!</v>
      </c>
      <c r="D34" s="328" t="e">
        <f>Mercado!#REF!*faturamento!$D$42</f>
        <v>#REF!</v>
      </c>
      <c r="E34" s="328" t="e">
        <f>Mercado!#REF!*faturamento!$E$42</f>
        <v>#REF!</v>
      </c>
    </row>
    <row r="35" spans="1:5" hidden="1">
      <c r="A35" s="505"/>
      <c r="B35" s="327" t="s">
        <v>8</v>
      </c>
      <c r="C35" s="328" t="e">
        <f>Mercado!#REF!*faturamento!$C$42</f>
        <v>#REF!</v>
      </c>
      <c r="D35" s="328" t="e">
        <f>Mercado!#REF!*faturamento!$D$42</f>
        <v>#REF!</v>
      </c>
      <c r="E35" s="328" t="e">
        <f>Mercado!#REF!*faturamento!$E$42</f>
        <v>#REF!</v>
      </c>
    </row>
    <row r="36" spans="1:5" hidden="1">
      <c r="A36" s="505"/>
      <c r="B36" s="327" t="s">
        <v>9</v>
      </c>
      <c r="C36" s="328" t="e">
        <f>Mercado!#REF!*faturamento!$C$42</f>
        <v>#REF!</v>
      </c>
      <c r="D36" s="328" t="e">
        <f>Mercado!#REF!*faturamento!$D$42</f>
        <v>#REF!</v>
      </c>
      <c r="E36" s="328" t="e">
        <f>Mercado!#REF!*faturamento!$E$42</f>
        <v>#REF!</v>
      </c>
    </row>
    <row r="37" spans="1:5" hidden="1">
      <c r="A37" s="505"/>
      <c r="B37" s="327" t="s">
        <v>10</v>
      </c>
      <c r="C37" s="328" t="e">
        <f>Mercado!#REF!*faturamento!$C$42</f>
        <v>#REF!</v>
      </c>
      <c r="D37" s="328" t="e">
        <f>Mercado!#REF!*faturamento!$D$42</f>
        <v>#REF!</v>
      </c>
      <c r="E37" s="328" t="e">
        <f>Mercado!#REF!*faturamento!$E$42</f>
        <v>#REF!</v>
      </c>
    </row>
    <row r="38" spans="1:5" hidden="1">
      <c r="A38" s="505"/>
      <c r="B38" s="327" t="s">
        <v>11</v>
      </c>
      <c r="C38" s="328" t="e">
        <f>Mercado!#REF!*faturamento!$C$42</f>
        <v>#REF!</v>
      </c>
      <c r="D38" s="328" t="e">
        <f>Mercado!#REF!*faturamento!$D$42</f>
        <v>#REF!</v>
      </c>
      <c r="E38" s="328" t="e">
        <f>Mercado!#REF!*faturamento!$E$42</f>
        <v>#REF!</v>
      </c>
    </row>
    <row r="39" spans="1:5" hidden="1">
      <c r="A39" s="505"/>
      <c r="B39" s="327" t="s">
        <v>12</v>
      </c>
      <c r="C39" s="328" t="e">
        <f>Mercado!#REF!*faturamento!$C$42</f>
        <v>#REF!</v>
      </c>
      <c r="D39" s="328" t="e">
        <f>Mercado!#REF!*faturamento!$D$42</f>
        <v>#REF!</v>
      </c>
      <c r="E39" s="328" t="e">
        <f>Mercado!#REF!*faturamento!$E$42</f>
        <v>#REF!</v>
      </c>
    </row>
    <row r="40" spans="1:5" hidden="1">
      <c r="A40" s="505"/>
      <c r="B40" s="339" t="s">
        <v>13</v>
      </c>
      <c r="C40" s="344" t="e">
        <f>SUM(C28:C39)</f>
        <v>#REF!</v>
      </c>
      <c r="D40" s="344" t="e">
        <f t="shared" ref="D40" si="3">SUM(D28:D39)</f>
        <v>#REF!</v>
      </c>
      <c r="E40" s="344" t="e">
        <f t="shared" ref="E40" si="4">SUM(E28:E39)</f>
        <v>#REF!</v>
      </c>
    </row>
    <row r="41" spans="1:5" ht="14.45" hidden="1" customHeight="1">
      <c r="A41" s="505"/>
      <c r="B41" s="329" t="s">
        <v>313</v>
      </c>
      <c r="C41" s="330" t="e">
        <f>Mercado!#REF!</f>
        <v>#REF!</v>
      </c>
      <c r="D41" s="330" t="e">
        <f>Mercado!#REF!</f>
        <v>#REF!</v>
      </c>
      <c r="E41" s="330" t="e">
        <f>Mercado!#REF!</f>
        <v>#REF!</v>
      </c>
    </row>
    <row r="42" spans="1:5" hidden="1">
      <c r="A42" s="505"/>
      <c r="B42" s="325" t="s">
        <v>93</v>
      </c>
      <c r="C42" s="331" t="e">
        <f>Mercado!#REF!</f>
        <v>#REF!</v>
      </c>
      <c r="D42" s="331" t="e">
        <f>Mercado!#REF!</f>
        <v>#REF!</v>
      </c>
      <c r="E42" s="331" t="e">
        <f>Mercado!#REF!</f>
        <v>#REF!</v>
      </c>
    </row>
    <row r="43" spans="1:5" hidden="1">
      <c r="A43" s="343"/>
      <c r="B43" s="325" t="s">
        <v>94</v>
      </c>
      <c r="C43" s="331" t="e">
        <f>Mercado!#REF!</f>
        <v>#REF!</v>
      </c>
      <c r="D43" s="331" t="e">
        <f>Mercado!#REF!</f>
        <v>#REF!</v>
      </c>
      <c r="E43" s="331" t="e">
        <f>Mercado!#REF!</f>
        <v>#REF!</v>
      </c>
    </row>
    <row r="44" spans="1:5" hidden="1">
      <c r="A44" s="343"/>
      <c r="B44" s="333" t="s">
        <v>194</v>
      </c>
      <c r="C44" s="338" t="e">
        <f>Mercado!#REF!</f>
        <v>#REF!</v>
      </c>
      <c r="D44" s="338" t="e">
        <f>Mercado!#REF!</f>
        <v>#REF!</v>
      </c>
      <c r="E44" s="338" t="e">
        <f>Mercado!#REF!</f>
        <v>#REF!</v>
      </c>
    </row>
    <row r="45" spans="1:5" hidden="1">
      <c r="A45" s="343"/>
      <c r="B45" s="333" t="s">
        <v>195</v>
      </c>
      <c r="C45" s="338" t="e">
        <f>Mercado!#REF!</f>
        <v>#REF!</v>
      </c>
      <c r="D45" s="338" t="e">
        <f>Mercado!#REF!</f>
        <v>#REF!</v>
      </c>
      <c r="E45" s="338" t="e">
        <f>Mercado!#REF!</f>
        <v>#REF!</v>
      </c>
    </row>
    <row r="46" spans="1:5" hidden="1"/>
    <row r="47" spans="1:5" hidden="1"/>
    <row r="48" spans="1:5" hidden="1">
      <c r="A48" s="504" t="s">
        <v>380</v>
      </c>
      <c r="B48" s="325" t="s">
        <v>393</v>
      </c>
      <c r="C48" s="506" t="s">
        <v>389</v>
      </c>
      <c r="D48" s="506"/>
      <c r="E48" s="325" t="s">
        <v>394</v>
      </c>
    </row>
    <row r="49" spans="1:5" hidden="1">
      <c r="A49" s="505"/>
      <c r="B49" s="325" t="s">
        <v>0</v>
      </c>
      <c r="C49" s="325" t="s">
        <v>152</v>
      </c>
      <c r="D49" s="325" t="s">
        <v>121</v>
      </c>
      <c r="E49" s="325" t="s">
        <v>125</v>
      </c>
    </row>
    <row r="50" spans="1:5" hidden="1">
      <c r="A50" s="505"/>
      <c r="B50" s="327" t="s">
        <v>1</v>
      </c>
      <c r="C50" s="328" t="e">
        <f>Mercado!#REF!*faturamento!$C$64</f>
        <v>#REF!</v>
      </c>
      <c r="D50" s="328" t="e">
        <f>Mercado!#REF!*faturamento!$D$64</f>
        <v>#REF!</v>
      </c>
      <c r="E50" s="328" t="e">
        <f>Mercado!#REF!*faturamento!$E$64</f>
        <v>#REF!</v>
      </c>
    </row>
    <row r="51" spans="1:5" hidden="1">
      <c r="A51" s="505"/>
      <c r="B51" s="327" t="s">
        <v>2</v>
      </c>
      <c r="C51" s="328" t="e">
        <f>Mercado!#REF!*faturamento!$C$64</f>
        <v>#REF!</v>
      </c>
      <c r="D51" s="328" t="e">
        <f>Mercado!#REF!*faturamento!$D$64</f>
        <v>#REF!</v>
      </c>
      <c r="E51" s="328" t="e">
        <f>Mercado!#REF!*faturamento!$E$64</f>
        <v>#REF!</v>
      </c>
    </row>
    <row r="52" spans="1:5" hidden="1">
      <c r="A52" s="505"/>
      <c r="B52" s="327" t="s">
        <v>3</v>
      </c>
      <c r="C52" s="328" t="e">
        <f>Mercado!#REF!*faturamento!$C$64</f>
        <v>#REF!</v>
      </c>
      <c r="D52" s="328" t="e">
        <f>Mercado!#REF!*faturamento!$D$64</f>
        <v>#REF!</v>
      </c>
      <c r="E52" s="328" t="e">
        <f>Mercado!#REF!*faturamento!$E$64</f>
        <v>#REF!</v>
      </c>
    </row>
    <row r="53" spans="1:5" hidden="1">
      <c r="A53" s="505"/>
      <c r="B53" s="327" t="s">
        <v>4</v>
      </c>
      <c r="C53" s="328" t="e">
        <f>Mercado!#REF!*faturamento!$C$64</f>
        <v>#REF!</v>
      </c>
      <c r="D53" s="328" t="e">
        <f>Mercado!#REF!*faturamento!$D$64</f>
        <v>#REF!</v>
      </c>
      <c r="E53" s="328" t="e">
        <f>Mercado!#REF!*faturamento!$E$64</f>
        <v>#REF!</v>
      </c>
    </row>
    <row r="54" spans="1:5" hidden="1">
      <c r="A54" s="505"/>
      <c r="B54" s="327" t="s">
        <v>5</v>
      </c>
      <c r="C54" s="328" t="e">
        <f>Mercado!#REF!*faturamento!$C$64</f>
        <v>#REF!</v>
      </c>
      <c r="D54" s="328" t="e">
        <f>Mercado!#REF!*faturamento!$D$64</f>
        <v>#REF!</v>
      </c>
      <c r="E54" s="328" t="e">
        <f>Mercado!#REF!*faturamento!$E$64</f>
        <v>#REF!</v>
      </c>
    </row>
    <row r="55" spans="1:5" hidden="1">
      <c r="A55" s="505"/>
      <c r="B55" s="327" t="s">
        <v>6</v>
      </c>
      <c r="C55" s="328" t="e">
        <f>Mercado!#REF!*faturamento!$C$64</f>
        <v>#REF!</v>
      </c>
      <c r="D55" s="328" t="e">
        <f>Mercado!#REF!*faturamento!$D$64</f>
        <v>#REF!</v>
      </c>
      <c r="E55" s="328" t="e">
        <f>Mercado!#REF!*faturamento!$E$64</f>
        <v>#REF!</v>
      </c>
    </row>
    <row r="56" spans="1:5" hidden="1">
      <c r="A56" s="505"/>
      <c r="B56" s="327" t="s">
        <v>7</v>
      </c>
      <c r="C56" s="328" t="e">
        <f>Mercado!#REF!*faturamento!$C$64</f>
        <v>#REF!</v>
      </c>
      <c r="D56" s="328" t="e">
        <f>Mercado!#REF!*faturamento!$D$64</f>
        <v>#REF!</v>
      </c>
      <c r="E56" s="328" t="e">
        <f>Mercado!#REF!*faturamento!$E$64</f>
        <v>#REF!</v>
      </c>
    </row>
    <row r="57" spans="1:5" hidden="1">
      <c r="A57" s="505"/>
      <c r="B57" s="327" t="s">
        <v>8</v>
      </c>
      <c r="C57" s="328" t="e">
        <f>Mercado!#REF!*faturamento!$C$64</f>
        <v>#REF!</v>
      </c>
      <c r="D57" s="328" t="e">
        <f>Mercado!#REF!*faturamento!$D$64</f>
        <v>#REF!</v>
      </c>
      <c r="E57" s="328" t="e">
        <f>Mercado!#REF!*faturamento!$E$64</f>
        <v>#REF!</v>
      </c>
    </row>
    <row r="58" spans="1:5" hidden="1">
      <c r="A58" s="505"/>
      <c r="B58" s="327" t="s">
        <v>9</v>
      </c>
      <c r="C58" s="328" t="e">
        <f>Mercado!#REF!*faturamento!$C$64</f>
        <v>#REF!</v>
      </c>
      <c r="D58" s="328" t="e">
        <f>Mercado!#REF!*faturamento!$D$64</f>
        <v>#REF!</v>
      </c>
      <c r="E58" s="328" t="e">
        <f>Mercado!#REF!*faturamento!$E$64</f>
        <v>#REF!</v>
      </c>
    </row>
    <row r="59" spans="1:5" hidden="1">
      <c r="A59" s="505"/>
      <c r="B59" s="327" t="s">
        <v>10</v>
      </c>
      <c r="C59" s="328" t="e">
        <f>Mercado!#REF!*faturamento!$C$64</f>
        <v>#REF!</v>
      </c>
      <c r="D59" s="328" t="e">
        <f>Mercado!#REF!*faturamento!$D$64</f>
        <v>#REF!</v>
      </c>
      <c r="E59" s="328" t="e">
        <f>Mercado!#REF!*faturamento!$E$64</f>
        <v>#REF!</v>
      </c>
    </row>
    <row r="60" spans="1:5" hidden="1">
      <c r="A60" s="505"/>
      <c r="B60" s="327" t="s">
        <v>11</v>
      </c>
      <c r="C60" s="328" t="e">
        <f>Mercado!#REF!*faturamento!$C$64</f>
        <v>#REF!</v>
      </c>
      <c r="D60" s="328" t="e">
        <f>Mercado!#REF!*faturamento!$D$64</f>
        <v>#REF!</v>
      </c>
      <c r="E60" s="328" t="e">
        <f>Mercado!#REF!*faturamento!$E$64</f>
        <v>#REF!</v>
      </c>
    </row>
    <row r="61" spans="1:5" hidden="1">
      <c r="A61" s="505"/>
      <c r="B61" s="327" t="s">
        <v>12</v>
      </c>
      <c r="C61" s="328" t="e">
        <f>Mercado!#REF!*faturamento!$C$64</f>
        <v>#REF!</v>
      </c>
      <c r="D61" s="328" t="e">
        <f>Mercado!#REF!*faturamento!$D$64</f>
        <v>#REF!</v>
      </c>
      <c r="E61" s="328" t="e">
        <f>Mercado!#REF!*faturamento!$E$64</f>
        <v>#REF!</v>
      </c>
    </row>
    <row r="62" spans="1:5" hidden="1">
      <c r="A62" s="505"/>
      <c r="B62" s="339" t="s">
        <v>13</v>
      </c>
      <c r="C62" s="344" t="e">
        <f>SUM(C50:C61)</f>
        <v>#REF!</v>
      </c>
      <c r="D62" s="344" t="e">
        <f t="shared" ref="D62" si="5">SUM(D50:D61)</f>
        <v>#REF!</v>
      </c>
      <c r="E62" s="344" t="e">
        <f t="shared" ref="E62" si="6">SUM(E50:E61)</f>
        <v>#REF!</v>
      </c>
    </row>
    <row r="63" spans="1:5" ht="14.45" hidden="1" customHeight="1">
      <c r="A63" s="505"/>
      <c r="B63" s="329" t="s">
        <v>313</v>
      </c>
      <c r="C63" s="330" t="e">
        <f>Mercado!#REF!</f>
        <v>#REF!</v>
      </c>
      <c r="D63" s="330" t="e">
        <f>Mercado!#REF!</f>
        <v>#REF!</v>
      </c>
      <c r="E63" s="330" t="e">
        <f>Mercado!#REF!</f>
        <v>#REF!</v>
      </c>
    </row>
    <row r="64" spans="1:5" hidden="1">
      <c r="A64" s="505"/>
      <c r="B64" s="325" t="s">
        <v>93</v>
      </c>
      <c r="C64" s="331" t="e">
        <f>Mercado!#REF!</f>
        <v>#REF!</v>
      </c>
      <c r="D64" s="331" t="e">
        <f>Mercado!#REF!</f>
        <v>#REF!</v>
      </c>
      <c r="E64" s="331" t="e">
        <f>Mercado!#REF!</f>
        <v>#REF!</v>
      </c>
    </row>
    <row r="65" spans="1:5" hidden="1">
      <c r="A65" s="343"/>
      <c r="B65" s="325" t="s">
        <v>94</v>
      </c>
      <c r="C65" s="331" t="e">
        <f>Mercado!#REF!</f>
        <v>#REF!</v>
      </c>
      <c r="D65" s="331" t="e">
        <f>Mercado!#REF!</f>
        <v>#REF!</v>
      </c>
      <c r="E65" s="331" t="e">
        <f>Mercado!#REF!</f>
        <v>#REF!</v>
      </c>
    </row>
    <row r="66" spans="1:5" hidden="1">
      <c r="A66" s="343"/>
      <c r="B66" s="333" t="s">
        <v>194</v>
      </c>
      <c r="C66" s="338" t="e">
        <f>Mercado!#REF!</f>
        <v>#REF!</v>
      </c>
      <c r="D66" s="338" t="e">
        <f>Mercado!#REF!</f>
        <v>#REF!</v>
      </c>
      <c r="E66" s="338" t="e">
        <f>Mercado!#REF!</f>
        <v>#REF!</v>
      </c>
    </row>
    <row r="67" spans="1:5" hidden="1">
      <c r="A67" s="343"/>
      <c r="B67" s="333" t="s">
        <v>195</v>
      </c>
      <c r="C67" s="338" t="e">
        <f>Mercado!#REF!</f>
        <v>#REF!</v>
      </c>
      <c r="D67" s="338" t="e">
        <f>Mercado!#REF!</f>
        <v>#REF!</v>
      </c>
      <c r="E67" s="338" t="e">
        <f>Mercado!#REF!</f>
        <v>#REF!</v>
      </c>
    </row>
    <row r="68" spans="1:5" hidden="1"/>
    <row r="69" spans="1:5" hidden="1"/>
  </sheetData>
  <mergeCells count="5">
    <mergeCell ref="A1:A20"/>
    <mergeCell ref="A26:A42"/>
    <mergeCell ref="C48:D48"/>
    <mergeCell ref="C26:D26"/>
    <mergeCell ref="A48:A6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tabColor rgb="FF00B0F0"/>
  </sheetPr>
  <dimension ref="A1:R26"/>
  <sheetViews>
    <sheetView showGridLines="0" zoomScale="130" zoomScaleNormal="130" workbookViewId="0">
      <pane xSplit="1" topLeftCell="B1" activePane="topRight" state="frozen"/>
      <selection activeCell="D10" sqref="D10"/>
      <selection pane="topRight" activeCell="B12" sqref="B12"/>
    </sheetView>
  </sheetViews>
  <sheetFormatPr defaultColWidth="9.140625" defaultRowHeight="12"/>
  <cols>
    <col min="1" max="1" width="30.42578125" style="11" customWidth="1"/>
    <col min="2" max="2" width="14.140625" style="11" customWidth="1"/>
    <col min="3" max="3" width="16.42578125" style="11" customWidth="1"/>
    <col min="4" max="4" width="14.5703125" style="11" customWidth="1"/>
    <col min="5" max="5" width="13.7109375" style="11" customWidth="1"/>
    <col min="6" max="6" width="13.28515625" style="11" customWidth="1"/>
    <col min="7" max="7" width="13.85546875" style="11" customWidth="1"/>
    <col min="8" max="8" width="13.7109375" style="11" customWidth="1"/>
    <col min="9" max="9" width="14.7109375" style="11" customWidth="1"/>
    <col min="10" max="10" width="12.5703125" style="11" customWidth="1"/>
    <col min="11" max="11" width="13" style="11" customWidth="1"/>
    <col min="12" max="14" width="14.140625" style="11" customWidth="1"/>
    <col min="15" max="15" width="2.57031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>
      <c r="C1" s="478">
        <v>1</v>
      </c>
      <c r="D1" s="478">
        <v>2</v>
      </c>
      <c r="E1" s="478">
        <v>3</v>
      </c>
      <c r="F1" s="478">
        <v>4</v>
      </c>
      <c r="G1" s="478">
        <v>5</v>
      </c>
      <c r="H1" s="478">
        <v>6</v>
      </c>
      <c r="I1" s="478">
        <v>7</v>
      </c>
      <c r="J1" s="478">
        <v>8</v>
      </c>
      <c r="K1" s="478">
        <v>9</v>
      </c>
      <c r="L1" s="478">
        <v>10</v>
      </c>
      <c r="M1" s="478">
        <v>11</v>
      </c>
      <c r="N1" s="478">
        <v>12</v>
      </c>
    </row>
    <row r="2" spans="1:18">
      <c r="A2" s="399" t="s">
        <v>387</v>
      </c>
      <c r="B2" s="411"/>
      <c r="C2" s="406" t="s">
        <v>1</v>
      </c>
      <c r="D2" s="406" t="s">
        <v>2</v>
      </c>
      <c r="E2" s="406" t="s">
        <v>3</v>
      </c>
      <c r="F2" s="406" t="s">
        <v>4</v>
      </c>
      <c r="G2" s="406" t="s">
        <v>5</v>
      </c>
      <c r="H2" s="406" t="s">
        <v>6</v>
      </c>
      <c r="I2" s="406" t="s">
        <v>7</v>
      </c>
      <c r="J2" s="406" t="s">
        <v>8</v>
      </c>
      <c r="K2" s="406" t="s">
        <v>9</v>
      </c>
      <c r="L2" s="406" t="s">
        <v>10</v>
      </c>
      <c r="M2" s="406" t="s">
        <v>11</v>
      </c>
      <c r="N2" s="406" t="s">
        <v>12</v>
      </c>
      <c r="P2" s="399" t="s">
        <v>13</v>
      </c>
    </row>
    <row r="3" spans="1:18" s="14" customFormat="1">
      <c r="A3" s="286" t="s">
        <v>40</v>
      </c>
      <c r="B3" s="286"/>
      <c r="C3" s="287">
        <f>'Investimento Inicial'!G8</f>
        <v>0</v>
      </c>
      <c r="D3" s="287">
        <f>C18</f>
        <v>0</v>
      </c>
      <c r="E3" s="287">
        <f t="shared" ref="E3:N3" si="0">D18</f>
        <v>0</v>
      </c>
      <c r="F3" s="287">
        <f t="shared" si="0"/>
        <v>0</v>
      </c>
      <c r="G3" s="287">
        <f t="shared" si="0"/>
        <v>0</v>
      </c>
      <c r="H3" s="287">
        <f t="shared" si="0"/>
        <v>0</v>
      </c>
      <c r="I3" s="287">
        <f t="shared" si="0"/>
        <v>0</v>
      </c>
      <c r="J3" s="287">
        <f t="shared" si="0"/>
        <v>0</v>
      </c>
      <c r="K3" s="287">
        <f t="shared" si="0"/>
        <v>0</v>
      </c>
      <c r="L3" s="287">
        <f t="shared" si="0"/>
        <v>0</v>
      </c>
      <c r="M3" s="287">
        <f t="shared" si="0"/>
        <v>0</v>
      </c>
      <c r="N3" s="287">
        <f t="shared" si="0"/>
        <v>0</v>
      </c>
      <c r="O3" s="288"/>
      <c r="P3" s="412">
        <f>SUM(C3:N3)</f>
        <v>0</v>
      </c>
      <c r="Q3" s="15"/>
      <c r="R3" s="13"/>
    </row>
    <row r="4" spans="1:18">
      <c r="A4" s="286" t="s">
        <v>41</v>
      </c>
      <c r="B4" s="290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91"/>
      <c r="P4" s="289"/>
    </row>
    <row r="5" spans="1:18">
      <c r="A5" s="292" t="s">
        <v>97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1"/>
      <c r="P5" s="289"/>
      <c r="Q5" s="100"/>
    </row>
    <row r="6" spans="1:18" s="14" customFormat="1">
      <c r="A6" s="286" t="s">
        <v>43</v>
      </c>
      <c r="B6" s="286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8"/>
      <c r="P6" s="289"/>
    </row>
    <row r="7" spans="1:18" s="14" customFormat="1">
      <c r="A7" s="286" t="s">
        <v>44</v>
      </c>
      <c r="B7" s="286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8"/>
      <c r="P7" s="289"/>
    </row>
    <row r="8" spans="1:18" s="14" customFormat="1">
      <c r="A8" s="286" t="s">
        <v>45</v>
      </c>
      <c r="B8" s="286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8"/>
      <c r="P8" s="289"/>
      <c r="Q8" s="25"/>
    </row>
    <row r="9" spans="1:18" s="14" customFormat="1">
      <c r="A9" s="286" t="s">
        <v>46</v>
      </c>
      <c r="B9" s="286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8"/>
      <c r="P9" s="289"/>
    </row>
    <row r="10" spans="1:18" s="14" customFormat="1">
      <c r="A10" s="286" t="s">
        <v>47</v>
      </c>
      <c r="B10" s="286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8"/>
      <c r="P10" s="289"/>
    </row>
    <row r="11" spans="1:18" s="14" customFormat="1">
      <c r="A11" s="286" t="s">
        <v>48</v>
      </c>
      <c r="B11" s="286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8"/>
      <c r="P11" s="289"/>
    </row>
    <row r="12" spans="1:18" s="14" customFormat="1">
      <c r="A12" s="286" t="s">
        <v>502</v>
      </c>
      <c r="B12" s="286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8"/>
      <c r="P12" s="289"/>
    </row>
    <row r="13" spans="1:18">
      <c r="A13" s="292" t="s">
        <v>485</v>
      </c>
      <c r="B13" s="299">
        <v>0.15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294"/>
      <c r="O13" s="291"/>
      <c r="P13" s="289"/>
    </row>
    <row r="14" spans="1:18">
      <c r="A14" s="292" t="s">
        <v>49</v>
      </c>
      <c r="B14" s="293">
        <v>0.01</v>
      </c>
      <c r="C14" s="294">
        <v>0</v>
      </c>
      <c r="D14" s="294">
        <v>0</v>
      </c>
      <c r="E14" s="294">
        <v>0</v>
      </c>
      <c r="F14" s="294">
        <v>0</v>
      </c>
      <c r="G14" s="294">
        <v>0</v>
      </c>
      <c r="H14" s="294">
        <v>0</v>
      </c>
      <c r="I14" s="294">
        <v>0</v>
      </c>
      <c r="J14" s="294">
        <v>0</v>
      </c>
      <c r="K14" s="294">
        <v>0</v>
      </c>
      <c r="L14" s="294">
        <v>0</v>
      </c>
      <c r="M14" s="294">
        <v>0</v>
      </c>
      <c r="N14" s="294">
        <v>0</v>
      </c>
      <c r="O14" s="294"/>
      <c r="P14" s="289">
        <f t="shared" ref="P14" si="1">SUM(C14:N14)</f>
        <v>0</v>
      </c>
    </row>
    <row r="15" spans="1:18" s="14" customFormat="1">
      <c r="A15" s="286" t="s">
        <v>496</v>
      </c>
      <c r="B15" s="286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8"/>
      <c r="P15" s="289"/>
      <c r="Q15" s="25"/>
    </row>
    <row r="16" spans="1:18">
      <c r="A16" s="292" t="s">
        <v>494</v>
      </c>
      <c r="B16" s="292"/>
      <c r="C16" s="295">
        <v>0</v>
      </c>
      <c r="D16" s="295">
        <v>0</v>
      </c>
      <c r="E16" s="295">
        <v>0</v>
      </c>
      <c r="F16" s="295">
        <v>0</v>
      </c>
      <c r="G16" s="295">
        <v>0</v>
      </c>
      <c r="H16" s="295">
        <v>0</v>
      </c>
      <c r="I16" s="295">
        <v>0</v>
      </c>
      <c r="J16" s="295">
        <v>0</v>
      </c>
      <c r="K16" s="295">
        <v>0</v>
      </c>
      <c r="L16" s="295">
        <v>0</v>
      </c>
      <c r="M16" s="295">
        <v>0</v>
      </c>
      <c r="N16" s="295">
        <v>0</v>
      </c>
      <c r="O16" s="291"/>
      <c r="P16" s="289">
        <f>SUM(C16:N16)</f>
        <v>0</v>
      </c>
    </row>
    <row r="17" spans="1:18">
      <c r="A17" s="292" t="s">
        <v>372</v>
      </c>
      <c r="B17" s="292"/>
      <c r="C17" s="295">
        <v>0</v>
      </c>
      <c r="D17" s="295">
        <f>C17</f>
        <v>0</v>
      </c>
      <c r="E17" s="295">
        <v>0</v>
      </c>
      <c r="F17" s="295">
        <v>0</v>
      </c>
      <c r="G17" s="295">
        <v>0</v>
      </c>
      <c r="H17" s="295">
        <v>0</v>
      </c>
      <c r="I17" s="295">
        <v>0</v>
      </c>
      <c r="J17" s="295">
        <v>0</v>
      </c>
      <c r="K17" s="295">
        <v>0</v>
      </c>
      <c r="L17" s="295">
        <v>0</v>
      </c>
      <c r="M17" s="295">
        <v>0</v>
      </c>
      <c r="N17" s="295">
        <v>0</v>
      </c>
      <c r="O17" s="291"/>
      <c r="P17" s="289">
        <f>SUM(C17:N17)</f>
        <v>0</v>
      </c>
    </row>
    <row r="18" spans="1:18" s="14" customFormat="1">
      <c r="A18" s="407" t="s">
        <v>53</v>
      </c>
      <c r="B18" s="407"/>
      <c r="C18" s="408">
        <f t="shared" ref="C18:P18" si="2">SUM(C3+C4-C6-C11-C15)</f>
        <v>0</v>
      </c>
      <c r="D18" s="408">
        <f t="shared" si="2"/>
        <v>0</v>
      </c>
      <c r="E18" s="408">
        <f t="shared" si="2"/>
        <v>0</v>
      </c>
      <c r="F18" s="408">
        <f t="shared" si="2"/>
        <v>0</v>
      </c>
      <c r="G18" s="408">
        <f t="shared" si="2"/>
        <v>0</v>
      </c>
      <c r="H18" s="408">
        <f t="shared" si="2"/>
        <v>0</v>
      </c>
      <c r="I18" s="408">
        <f t="shared" si="2"/>
        <v>0</v>
      </c>
      <c r="J18" s="408">
        <f t="shared" si="2"/>
        <v>0</v>
      </c>
      <c r="K18" s="408">
        <f t="shared" si="2"/>
        <v>0</v>
      </c>
      <c r="L18" s="408">
        <f t="shared" si="2"/>
        <v>0</v>
      </c>
      <c r="M18" s="408">
        <f t="shared" si="2"/>
        <v>0</v>
      </c>
      <c r="N18" s="408">
        <f t="shared" si="2"/>
        <v>0</v>
      </c>
      <c r="O18" s="408">
        <f t="shared" si="2"/>
        <v>0</v>
      </c>
      <c r="P18" s="408">
        <f t="shared" si="2"/>
        <v>0</v>
      </c>
    </row>
    <row r="19" spans="1:18" ht="10.5" customHeight="1">
      <c r="A19" s="17" t="s">
        <v>458</v>
      </c>
      <c r="B19" s="17"/>
      <c r="C19" s="18">
        <f>N18-C3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15"/>
      <c r="R19" s="100"/>
    </row>
    <row r="20" spans="1:18" s="14" customFormat="1">
      <c r="A20" s="20"/>
      <c r="B20" s="16"/>
      <c r="C20" s="13">
        <f>(C18/(1+C22)^C1)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P20" s="15"/>
    </row>
    <row r="21" spans="1:18">
      <c r="A21" s="17" t="s">
        <v>495</v>
      </c>
      <c r="B21" s="207">
        <v>0.06</v>
      </c>
      <c r="C21" s="18">
        <v>0.06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15"/>
    </row>
    <row r="22" spans="1:18" s="14" customFormat="1">
      <c r="A22" s="12"/>
      <c r="B22" s="1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 s="15"/>
    </row>
    <row r="23" spans="1:18">
      <c r="A23" s="17" t="s">
        <v>303</v>
      </c>
      <c r="B23" s="17"/>
      <c r="C23" s="18">
        <f>(C18/((1+C21)^C1))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15"/>
    </row>
    <row r="24" spans="1:18">
      <c r="A24" s="12"/>
      <c r="B24" s="1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15"/>
    </row>
    <row r="25" spans="1:18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15"/>
    </row>
    <row r="26" spans="1:18" s="14" customFormat="1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P2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>
    <tabColor rgb="FF00B0F0"/>
  </sheetPr>
  <dimension ref="A1:R41"/>
  <sheetViews>
    <sheetView showGridLines="0" topLeftCell="A9" zoomScale="90" zoomScaleNormal="90" workbookViewId="0">
      <pane xSplit="1" topLeftCell="H1" activePane="topRight" state="frozen"/>
      <selection activeCell="D10" sqref="D10"/>
      <selection pane="topRight" activeCell="A34" sqref="A34:C34"/>
    </sheetView>
  </sheetViews>
  <sheetFormatPr defaultColWidth="9.140625" defaultRowHeight="12"/>
  <cols>
    <col min="1" max="1" width="29.7109375" style="11" bestFit="1" customWidth="1"/>
    <col min="2" max="2" width="7.140625" style="11" bestFit="1" customWidth="1"/>
    <col min="3" max="3" width="15.5703125" style="11" customWidth="1"/>
    <col min="4" max="4" width="14.42578125" style="11" customWidth="1"/>
    <col min="5" max="5" width="14.7109375" style="11" customWidth="1"/>
    <col min="6" max="8" width="12.140625" style="11" bestFit="1" customWidth="1"/>
    <col min="9" max="14" width="15.28515625" style="11" bestFit="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>
      <c r="A1" s="427" t="s">
        <v>56</v>
      </c>
      <c r="B1" s="425"/>
      <c r="C1" s="426" t="s">
        <v>1</v>
      </c>
      <c r="D1" s="426" t="s">
        <v>2</v>
      </c>
      <c r="E1" s="426" t="s">
        <v>3</v>
      </c>
      <c r="F1" s="426" t="s">
        <v>4</v>
      </c>
      <c r="G1" s="426" t="s">
        <v>5</v>
      </c>
      <c r="H1" s="426" t="s">
        <v>6</v>
      </c>
      <c r="I1" s="426" t="s">
        <v>7</v>
      </c>
      <c r="J1" s="426" t="s">
        <v>8</v>
      </c>
      <c r="K1" s="426" t="s">
        <v>9</v>
      </c>
      <c r="L1" s="426" t="s">
        <v>10</v>
      </c>
      <c r="M1" s="426" t="s">
        <v>11</v>
      </c>
      <c r="N1" s="426" t="s">
        <v>12</v>
      </c>
      <c r="O1" s="426"/>
      <c r="P1" s="427" t="s">
        <v>22</v>
      </c>
    </row>
    <row r="2" spans="1:18" s="14" customFormat="1">
      <c r="A2" s="286" t="s">
        <v>40</v>
      </c>
      <c r="B2" s="286"/>
      <c r="C2" s="287">
        <f>'Fluxo de Caixa 01'!N18</f>
        <v>0</v>
      </c>
      <c r="D2" s="287" t="e">
        <f>C33</f>
        <v>#REF!</v>
      </c>
      <c r="E2" s="287" t="e">
        <f t="shared" ref="E2:N2" si="0">D33</f>
        <v>#REF!</v>
      </c>
      <c r="F2" s="287" t="e">
        <f t="shared" si="0"/>
        <v>#REF!</v>
      </c>
      <c r="G2" s="287" t="e">
        <f t="shared" si="0"/>
        <v>#REF!</v>
      </c>
      <c r="H2" s="287" t="e">
        <f t="shared" si="0"/>
        <v>#REF!</v>
      </c>
      <c r="I2" s="287" t="e">
        <f t="shared" si="0"/>
        <v>#REF!</v>
      </c>
      <c r="J2" s="287" t="e">
        <f t="shared" si="0"/>
        <v>#REF!</v>
      </c>
      <c r="K2" s="287" t="e">
        <f t="shared" si="0"/>
        <v>#REF!</v>
      </c>
      <c r="L2" s="287" t="e">
        <f t="shared" si="0"/>
        <v>#REF!</v>
      </c>
      <c r="M2" s="287" t="e">
        <f t="shared" si="0"/>
        <v>#REF!</v>
      </c>
      <c r="N2" s="287" t="e">
        <f t="shared" si="0"/>
        <v>#REF!</v>
      </c>
      <c r="O2" s="288"/>
      <c r="P2" s="289" t="e">
        <f>N2</f>
        <v>#REF!</v>
      </c>
      <c r="Q2" s="15"/>
      <c r="R2" s="13"/>
    </row>
    <row r="3" spans="1:18">
      <c r="A3" s="286" t="s">
        <v>41</v>
      </c>
      <c r="B3" s="290"/>
      <c r="C3" s="366" t="e">
        <f>faturamento!#REF!</f>
        <v>#REF!</v>
      </c>
      <c r="D3" s="366" t="e">
        <f>faturamento!#REF!</f>
        <v>#REF!</v>
      </c>
      <c r="E3" s="366" t="e">
        <f>faturamento!#REF!</f>
        <v>#REF!</v>
      </c>
      <c r="F3" s="366" t="e">
        <f>faturamento!#REF!</f>
        <v>#REF!</v>
      </c>
      <c r="G3" s="366" t="e">
        <f>faturamento!#REF!</f>
        <v>#REF!</v>
      </c>
      <c r="H3" s="366" t="e">
        <f>faturamento!#REF!</f>
        <v>#REF!</v>
      </c>
      <c r="I3" s="366" t="e">
        <f>faturamento!#REF!</f>
        <v>#REF!</v>
      </c>
      <c r="J3" s="366" t="e">
        <f>faturamento!#REF!</f>
        <v>#REF!</v>
      </c>
      <c r="K3" s="366" t="e">
        <f>faturamento!#REF!</f>
        <v>#REF!</v>
      </c>
      <c r="L3" s="366" t="e">
        <f>faturamento!#REF!</f>
        <v>#REF!</v>
      </c>
      <c r="M3" s="366" t="e">
        <f>faturamento!#REF!</f>
        <v>#REF!</v>
      </c>
      <c r="N3" s="366" t="e">
        <f>faturamento!#REF!</f>
        <v>#REF!</v>
      </c>
      <c r="O3" s="292"/>
      <c r="P3" s="365" t="e">
        <f>SUM(C3:N3)</f>
        <v>#REF!</v>
      </c>
    </row>
    <row r="4" spans="1:18">
      <c r="A4" s="292" t="s">
        <v>97</v>
      </c>
      <c r="B4" s="293">
        <v>0.7</v>
      </c>
      <c r="C4" s="364" t="e">
        <f>C3*$B$4</f>
        <v>#REF!</v>
      </c>
      <c r="D4" s="364" t="e">
        <f t="shared" ref="D4:N4" si="1">D3*$B$4</f>
        <v>#REF!</v>
      </c>
      <c r="E4" s="364" t="e">
        <f t="shared" si="1"/>
        <v>#REF!</v>
      </c>
      <c r="F4" s="364" t="e">
        <f t="shared" si="1"/>
        <v>#REF!</v>
      </c>
      <c r="G4" s="364" t="e">
        <f t="shared" si="1"/>
        <v>#REF!</v>
      </c>
      <c r="H4" s="364" t="e">
        <f t="shared" si="1"/>
        <v>#REF!</v>
      </c>
      <c r="I4" s="364" t="e">
        <f t="shared" si="1"/>
        <v>#REF!</v>
      </c>
      <c r="J4" s="364" t="e">
        <f t="shared" si="1"/>
        <v>#REF!</v>
      </c>
      <c r="K4" s="364" t="e">
        <f t="shared" si="1"/>
        <v>#REF!</v>
      </c>
      <c r="L4" s="364" t="e">
        <f t="shared" si="1"/>
        <v>#REF!</v>
      </c>
      <c r="M4" s="364" t="e">
        <f t="shared" si="1"/>
        <v>#REF!</v>
      </c>
      <c r="N4" s="364" t="e">
        <f t="shared" si="1"/>
        <v>#REF!</v>
      </c>
      <c r="O4" s="292"/>
      <c r="P4" s="365" t="e">
        <f t="shared" ref="P4:P5" si="2">SUM(C4:N4)</f>
        <v>#REF!</v>
      </c>
    </row>
    <row r="5" spans="1:18">
      <c r="A5" s="292" t="s">
        <v>42</v>
      </c>
      <c r="B5" s="293">
        <v>0.3</v>
      </c>
      <c r="C5" s="364" t="e">
        <f>C3*$B$5</f>
        <v>#REF!</v>
      </c>
      <c r="D5" s="364" t="e">
        <f t="shared" ref="D5:N5" si="3">D3*$B$5</f>
        <v>#REF!</v>
      </c>
      <c r="E5" s="364" t="e">
        <f t="shared" si="3"/>
        <v>#REF!</v>
      </c>
      <c r="F5" s="364" t="e">
        <f t="shared" si="3"/>
        <v>#REF!</v>
      </c>
      <c r="G5" s="364" t="e">
        <f t="shared" si="3"/>
        <v>#REF!</v>
      </c>
      <c r="H5" s="364" t="e">
        <f t="shared" si="3"/>
        <v>#REF!</v>
      </c>
      <c r="I5" s="364" t="e">
        <f t="shared" si="3"/>
        <v>#REF!</v>
      </c>
      <c r="J5" s="364" t="e">
        <f t="shared" si="3"/>
        <v>#REF!</v>
      </c>
      <c r="K5" s="364" t="e">
        <f t="shared" si="3"/>
        <v>#REF!</v>
      </c>
      <c r="L5" s="364" t="e">
        <f t="shared" si="3"/>
        <v>#REF!</v>
      </c>
      <c r="M5" s="364" t="e">
        <f t="shared" si="3"/>
        <v>#REF!</v>
      </c>
      <c r="N5" s="364" t="e">
        <f t="shared" si="3"/>
        <v>#REF!</v>
      </c>
      <c r="O5" s="292"/>
      <c r="P5" s="365" t="e">
        <f t="shared" si="2"/>
        <v>#REF!</v>
      </c>
    </row>
    <row r="6" spans="1:18" s="14" customFormat="1">
      <c r="A6" s="286" t="s">
        <v>43</v>
      </c>
      <c r="B6" s="286"/>
      <c r="C6" s="287" t="e">
        <f t="shared" ref="C6:N6" si="4">C7+C20</f>
        <v>#REF!</v>
      </c>
      <c r="D6" s="287" t="e">
        <f t="shared" si="4"/>
        <v>#REF!</v>
      </c>
      <c r="E6" s="287" t="e">
        <f t="shared" si="4"/>
        <v>#REF!</v>
      </c>
      <c r="F6" s="287" t="e">
        <f t="shared" si="4"/>
        <v>#REF!</v>
      </c>
      <c r="G6" s="287" t="e">
        <f t="shared" si="4"/>
        <v>#REF!</v>
      </c>
      <c r="H6" s="287" t="e">
        <f t="shared" si="4"/>
        <v>#REF!</v>
      </c>
      <c r="I6" s="287" t="e">
        <f t="shared" si="4"/>
        <v>#REF!</v>
      </c>
      <c r="J6" s="287" t="e">
        <f t="shared" si="4"/>
        <v>#REF!</v>
      </c>
      <c r="K6" s="287" t="e">
        <f t="shared" si="4"/>
        <v>#REF!</v>
      </c>
      <c r="L6" s="287" t="e">
        <f t="shared" si="4"/>
        <v>#REF!</v>
      </c>
      <c r="M6" s="287" t="e">
        <f t="shared" si="4"/>
        <v>#REF!</v>
      </c>
      <c r="N6" s="287" t="e">
        <f t="shared" si="4"/>
        <v>#REF!</v>
      </c>
      <c r="O6" s="288"/>
      <c r="P6" s="289" t="e">
        <f>SUM(C6:N6)</f>
        <v>#REF!</v>
      </c>
    </row>
    <row r="7" spans="1:18" s="14" customFormat="1">
      <c r="A7" s="286" t="s">
        <v>44</v>
      </c>
      <c r="B7" s="286"/>
      <c r="C7" s="287" t="e">
        <f t="shared" ref="C7:N7" si="5">C8+C15</f>
        <v>#REF!</v>
      </c>
      <c r="D7" s="287" t="e">
        <f t="shared" si="5"/>
        <v>#REF!</v>
      </c>
      <c r="E7" s="287" t="e">
        <f t="shared" si="5"/>
        <v>#REF!</v>
      </c>
      <c r="F7" s="287" t="e">
        <f t="shared" si="5"/>
        <v>#REF!</v>
      </c>
      <c r="G7" s="287" t="e">
        <f t="shared" si="5"/>
        <v>#REF!</v>
      </c>
      <c r="H7" s="287" t="e">
        <f t="shared" si="5"/>
        <v>#REF!</v>
      </c>
      <c r="I7" s="287" t="e">
        <f t="shared" si="5"/>
        <v>#REF!</v>
      </c>
      <c r="J7" s="287" t="e">
        <f t="shared" si="5"/>
        <v>#REF!</v>
      </c>
      <c r="K7" s="287" t="e">
        <f t="shared" si="5"/>
        <v>#REF!</v>
      </c>
      <c r="L7" s="287" t="e">
        <f t="shared" si="5"/>
        <v>#REF!</v>
      </c>
      <c r="M7" s="287" t="e">
        <f t="shared" si="5"/>
        <v>#REF!</v>
      </c>
      <c r="N7" s="287" t="e">
        <f t="shared" si="5"/>
        <v>#REF!</v>
      </c>
      <c r="O7" s="288"/>
      <c r="P7" s="289" t="e">
        <f t="shared" ref="P7:P28" si="6">SUM(C7:N7)</f>
        <v>#REF!</v>
      </c>
      <c r="Q7" s="15"/>
    </row>
    <row r="8" spans="1:18" s="14" customFormat="1">
      <c r="A8" s="286" t="s">
        <v>45</v>
      </c>
      <c r="B8" s="286"/>
      <c r="C8" s="287" t="e">
        <f t="shared" ref="C8:N8" si="7">SUM(C9:C14)</f>
        <v>#REF!</v>
      </c>
      <c r="D8" s="287" t="e">
        <f t="shared" si="7"/>
        <v>#REF!</v>
      </c>
      <c r="E8" s="287" t="e">
        <f t="shared" si="7"/>
        <v>#REF!</v>
      </c>
      <c r="F8" s="287" t="e">
        <f t="shared" si="7"/>
        <v>#REF!</v>
      </c>
      <c r="G8" s="287" t="e">
        <f t="shared" si="7"/>
        <v>#REF!</v>
      </c>
      <c r="H8" s="287" t="e">
        <f t="shared" si="7"/>
        <v>#REF!</v>
      </c>
      <c r="I8" s="287" t="e">
        <f t="shared" si="7"/>
        <v>#REF!</v>
      </c>
      <c r="J8" s="287" t="e">
        <f t="shared" si="7"/>
        <v>#REF!</v>
      </c>
      <c r="K8" s="287" t="e">
        <f t="shared" si="7"/>
        <v>#REF!</v>
      </c>
      <c r="L8" s="287" t="e">
        <f t="shared" si="7"/>
        <v>#REF!</v>
      </c>
      <c r="M8" s="287" t="e">
        <f t="shared" si="7"/>
        <v>#REF!</v>
      </c>
      <c r="N8" s="287" t="e">
        <f t="shared" si="7"/>
        <v>#REF!</v>
      </c>
      <c r="O8" s="288"/>
      <c r="P8" s="289" t="e">
        <f t="shared" si="6"/>
        <v>#REF!</v>
      </c>
      <c r="Q8" s="25"/>
    </row>
    <row r="9" spans="1:18">
      <c r="A9" s="292" t="s">
        <v>365</v>
      </c>
      <c r="B9" s="292"/>
      <c r="C9" s="300" t="e">
        <f>'Fluxo de Caixa 01'!#REF!*0.07+'Fluxo de Caixa 01'!#REF!</f>
        <v>#REF!</v>
      </c>
      <c r="D9" s="300" t="e">
        <f>'Fluxo de Caixa 01'!#REF!*0.07+'Fluxo de Caixa 01'!#REF!</f>
        <v>#REF!</v>
      </c>
      <c r="E9" s="300" t="e">
        <f>'Fluxo de Caixa 01'!#REF!*0.07+'Fluxo de Caixa 01'!#REF!</f>
        <v>#REF!</v>
      </c>
      <c r="F9" s="300" t="e">
        <f>'Fluxo de Caixa 01'!#REF!*0.07+'Fluxo de Caixa 01'!#REF!</f>
        <v>#REF!</v>
      </c>
      <c r="G9" s="300" t="e">
        <f>'Fluxo de Caixa 01'!#REF!*0.07+'Fluxo de Caixa 01'!#REF!</f>
        <v>#REF!</v>
      </c>
      <c r="H9" s="300" t="e">
        <f>'Fluxo de Caixa 01'!#REF!*0.07+'Fluxo de Caixa 01'!#REF!</f>
        <v>#REF!</v>
      </c>
      <c r="I9" s="300" t="e">
        <f>'Fluxo de Caixa 01'!#REF!*0.07+'Fluxo de Caixa 01'!#REF!</f>
        <v>#REF!</v>
      </c>
      <c r="J9" s="300" t="e">
        <f>'Fluxo de Caixa 01'!#REF!*0.07+'Fluxo de Caixa 01'!#REF!</f>
        <v>#REF!</v>
      </c>
      <c r="K9" s="300" t="e">
        <f>'Fluxo de Caixa 01'!#REF!*0.07+'Fluxo de Caixa 01'!#REF!</f>
        <v>#REF!</v>
      </c>
      <c r="L9" s="300" t="e">
        <f>'Fluxo de Caixa 01'!#REF!*0.07+'Fluxo de Caixa 01'!#REF!</f>
        <v>#REF!</v>
      </c>
      <c r="M9" s="300" t="e">
        <f>'Fluxo de Caixa 01'!#REF!*0.07+'Fluxo de Caixa 01'!#REF!</f>
        <v>#REF!</v>
      </c>
      <c r="N9" s="300" t="e">
        <f>'Fluxo de Caixa 01'!#REF!*0.07+'Fluxo de Caixa 01'!#REF!</f>
        <v>#REF!</v>
      </c>
      <c r="O9" s="291"/>
      <c r="P9" s="289" t="e">
        <f t="shared" si="6"/>
        <v>#REF!</v>
      </c>
    </row>
    <row r="10" spans="1:18">
      <c r="A10" s="292" t="s">
        <v>244</v>
      </c>
      <c r="B10" s="296"/>
      <c r="C10" s="300" t="e">
        <f>'Fluxo de Caixa 01'!#REF!*0.07+'Fluxo de Caixa 01'!#REF!</f>
        <v>#REF!</v>
      </c>
      <c r="D10" s="300" t="e">
        <f>'Fluxo de Caixa 01'!#REF!*0.07+'Fluxo de Caixa 01'!#REF!</f>
        <v>#REF!</v>
      </c>
      <c r="E10" s="300" t="e">
        <f>'Fluxo de Caixa 01'!#REF!*0.07+'Fluxo de Caixa 01'!#REF!</f>
        <v>#REF!</v>
      </c>
      <c r="F10" s="300" t="e">
        <f>'Fluxo de Caixa 01'!#REF!*0.07+'Fluxo de Caixa 01'!#REF!</f>
        <v>#REF!</v>
      </c>
      <c r="G10" s="300" t="e">
        <f>'Fluxo de Caixa 01'!#REF!*0.07+'Fluxo de Caixa 01'!#REF!</f>
        <v>#REF!</v>
      </c>
      <c r="H10" s="300" t="e">
        <f>'Fluxo de Caixa 01'!#REF!*0.07+'Fluxo de Caixa 01'!#REF!</f>
        <v>#REF!</v>
      </c>
      <c r="I10" s="300" t="e">
        <f>'Fluxo de Caixa 01'!#REF!*0.07+'Fluxo de Caixa 01'!#REF!</f>
        <v>#REF!</v>
      </c>
      <c r="J10" s="300" t="e">
        <f>'Fluxo de Caixa 01'!#REF!*0.07+'Fluxo de Caixa 01'!#REF!</f>
        <v>#REF!</v>
      </c>
      <c r="K10" s="300" t="e">
        <f>'Fluxo de Caixa 01'!#REF!*0.07+'Fluxo de Caixa 01'!#REF!</f>
        <v>#REF!</v>
      </c>
      <c r="L10" s="300" t="e">
        <f>'Fluxo de Caixa 01'!#REF!*0.07+'Fluxo de Caixa 01'!#REF!</f>
        <v>#REF!</v>
      </c>
      <c r="M10" s="300" t="e">
        <f>'Fluxo de Caixa 01'!#REF!*0.07+'Fluxo de Caixa 01'!#REF!</f>
        <v>#REF!</v>
      </c>
      <c r="N10" s="300" t="e">
        <f>'Fluxo de Caixa 01'!#REF!*0.07+'Fluxo de Caixa 01'!#REF!</f>
        <v>#REF!</v>
      </c>
      <c r="O10" s="291"/>
      <c r="P10" s="289" t="e">
        <f t="shared" si="6"/>
        <v>#REF!</v>
      </c>
    </row>
    <row r="11" spans="1:18">
      <c r="A11" s="292" t="s">
        <v>366</v>
      </c>
      <c r="B11" s="292"/>
      <c r="C11" s="300" t="e">
        <f>'Fluxo de Caixa 01'!#REF!*0.07+'Fluxo de Caixa 01'!#REF!</f>
        <v>#REF!</v>
      </c>
      <c r="D11" s="300" t="e">
        <f>'Fluxo de Caixa 01'!#REF!*0.07+'Fluxo de Caixa 01'!#REF!</f>
        <v>#REF!</v>
      </c>
      <c r="E11" s="300" t="e">
        <f>'Fluxo de Caixa 01'!#REF!*0.07+'Fluxo de Caixa 01'!#REF!</f>
        <v>#REF!</v>
      </c>
      <c r="F11" s="300" t="e">
        <f>'Fluxo de Caixa 01'!#REF!*0.07+'Fluxo de Caixa 01'!#REF!</f>
        <v>#REF!</v>
      </c>
      <c r="G11" s="300" t="e">
        <f>'Fluxo de Caixa 01'!#REF!*0.07+'Fluxo de Caixa 01'!#REF!</f>
        <v>#REF!</v>
      </c>
      <c r="H11" s="300" t="e">
        <f>'Fluxo de Caixa 01'!#REF!*0.07+'Fluxo de Caixa 01'!#REF!</f>
        <v>#REF!</v>
      </c>
      <c r="I11" s="300" t="e">
        <f>'Fluxo de Caixa 01'!#REF!*0.07+'Fluxo de Caixa 01'!#REF!</f>
        <v>#REF!</v>
      </c>
      <c r="J11" s="300" t="e">
        <f>'Fluxo de Caixa 01'!#REF!*0.07+'Fluxo de Caixa 01'!#REF!</f>
        <v>#REF!</v>
      </c>
      <c r="K11" s="300" t="e">
        <f>'Fluxo de Caixa 01'!#REF!*0.07+'Fluxo de Caixa 01'!#REF!</f>
        <v>#REF!</v>
      </c>
      <c r="L11" s="300" t="e">
        <f>'Fluxo de Caixa 01'!#REF!*0.07+'Fluxo de Caixa 01'!#REF!</f>
        <v>#REF!</v>
      </c>
      <c r="M11" s="300" t="e">
        <f>'Fluxo de Caixa 01'!#REF!*0.07+'Fluxo de Caixa 01'!#REF!</f>
        <v>#REF!</v>
      </c>
      <c r="N11" s="300" t="e">
        <f>'Fluxo de Caixa 01'!#REF!*0.07+'Fluxo de Caixa 01'!#REF!</f>
        <v>#REF!</v>
      </c>
      <c r="O11" s="291"/>
      <c r="P11" s="289" t="e">
        <f t="shared" si="6"/>
        <v>#REF!</v>
      </c>
    </row>
    <row r="12" spans="1:18">
      <c r="A12" s="292" t="s">
        <v>367</v>
      </c>
      <c r="B12" s="292"/>
      <c r="C12" s="300" t="e">
        <f>'Fluxo de Caixa 01'!#REF!*0.07+'Fluxo de Caixa 01'!#REF!</f>
        <v>#REF!</v>
      </c>
      <c r="D12" s="300" t="e">
        <f>'Fluxo de Caixa 01'!#REF!*0.07+'Fluxo de Caixa 01'!#REF!</f>
        <v>#REF!</v>
      </c>
      <c r="E12" s="300" t="e">
        <f>'Fluxo de Caixa 01'!#REF!*0.07+'Fluxo de Caixa 01'!#REF!</f>
        <v>#REF!</v>
      </c>
      <c r="F12" s="300" t="e">
        <f>'Fluxo de Caixa 01'!#REF!*0.07+'Fluxo de Caixa 01'!#REF!</f>
        <v>#REF!</v>
      </c>
      <c r="G12" s="300" t="e">
        <f>'Fluxo de Caixa 01'!#REF!*0.07+'Fluxo de Caixa 01'!#REF!</f>
        <v>#REF!</v>
      </c>
      <c r="H12" s="300" t="e">
        <f>'Fluxo de Caixa 01'!#REF!*0.07+'Fluxo de Caixa 01'!#REF!</f>
        <v>#REF!</v>
      </c>
      <c r="I12" s="300" t="e">
        <f>'Fluxo de Caixa 01'!#REF!*0.07+'Fluxo de Caixa 01'!#REF!</f>
        <v>#REF!</v>
      </c>
      <c r="J12" s="300" t="e">
        <f>'Fluxo de Caixa 01'!#REF!*0.07+'Fluxo de Caixa 01'!#REF!</f>
        <v>#REF!</v>
      </c>
      <c r="K12" s="300" t="e">
        <f>'Fluxo de Caixa 01'!#REF!*0.07+'Fluxo de Caixa 01'!#REF!</f>
        <v>#REF!</v>
      </c>
      <c r="L12" s="300" t="e">
        <f>'Fluxo de Caixa 01'!#REF!*0.07+'Fluxo de Caixa 01'!#REF!</f>
        <v>#REF!</v>
      </c>
      <c r="M12" s="300" t="e">
        <f>'Fluxo de Caixa 01'!#REF!*0.07+'Fluxo de Caixa 01'!#REF!</f>
        <v>#REF!</v>
      </c>
      <c r="N12" s="300" t="e">
        <f>'Fluxo de Caixa 01'!#REF!*0.07+'Fluxo de Caixa 01'!#REF!</f>
        <v>#REF!</v>
      </c>
      <c r="O12" s="291"/>
      <c r="P12" s="289" t="e">
        <f t="shared" si="6"/>
        <v>#REF!</v>
      </c>
    </row>
    <row r="13" spans="1:18">
      <c r="A13" s="292" t="s">
        <v>407</v>
      </c>
      <c r="B13" s="292"/>
      <c r="C13" s="300">
        <v>2560</v>
      </c>
      <c r="D13" s="300">
        <v>2560</v>
      </c>
      <c r="E13" s="300">
        <v>2560</v>
      </c>
      <c r="F13" s="300">
        <v>2560</v>
      </c>
      <c r="G13" s="300">
        <v>2560</v>
      </c>
      <c r="H13" s="300">
        <v>2560</v>
      </c>
      <c r="I13" s="300">
        <v>2560</v>
      </c>
      <c r="J13" s="300">
        <v>2560</v>
      </c>
      <c r="K13" s="300">
        <v>2560</v>
      </c>
      <c r="L13" s="300">
        <v>2560</v>
      </c>
      <c r="M13" s="300">
        <v>2560</v>
      </c>
      <c r="N13" s="300">
        <v>2560</v>
      </c>
      <c r="O13" s="300">
        <v>1280</v>
      </c>
      <c r="P13" s="289">
        <f t="shared" si="6"/>
        <v>30720</v>
      </c>
    </row>
    <row r="14" spans="1:18">
      <c r="A14" s="292" t="s">
        <v>240</v>
      </c>
      <c r="B14" s="292"/>
      <c r="C14" s="300" t="e">
        <f>'Fluxo de Caixa 01'!#REF!*0.07+'Fluxo de Caixa 01'!#REF!</f>
        <v>#REF!</v>
      </c>
      <c r="D14" s="300" t="e">
        <f>'Fluxo de Caixa 01'!#REF!*0.07+'Fluxo de Caixa 01'!#REF!</f>
        <v>#REF!</v>
      </c>
      <c r="E14" s="300" t="e">
        <f>'Fluxo de Caixa 01'!#REF!*0.07+'Fluxo de Caixa 01'!#REF!</f>
        <v>#REF!</v>
      </c>
      <c r="F14" s="300" t="e">
        <f>'Fluxo de Caixa 01'!#REF!*0.07+'Fluxo de Caixa 01'!#REF!</f>
        <v>#REF!</v>
      </c>
      <c r="G14" s="300" t="e">
        <f>'Fluxo de Caixa 01'!#REF!*0.07+'Fluxo de Caixa 01'!#REF!</f>
        <v>#REF!</v>
      </c>
      <c r="H14" s="300" t="e">
        <f>'Fluxo de Caixa 01'!#REF!*0.07+'Fluxo de Caixa 01'!#REF!</f>
        <v>#REF!</v>
      </c>
      <c r="I14" s="300" t="e">
        <f>'Fluxo de Caixa 01'!#REF!*0.07+'Fluxo de Caixa 01'!#REF!</f>
        <v>#REF!</v>
      </c>
      <c r="J14" s="300" t="e">
        <f>'Fluxo de Caixa 01'!#REF!*0.07+'Fluxo de Caixa 01'!#REF!</f>
        <v>#REF!</v>
      </c>
      <c r="K14" s="300" t="e">
        <f>'Fluxo de Caixa 01'!#REF!*0.07+'Fluxo de Caixa 01'!#REF!</f>
        <v>#REF!</v>
      </c>
      <c r="L14" s="300" t="e">
        <f>'Fluxo de Caixa 01'!#REF!*0.07+'Fluxo de Caixa 01'!#REF!</f>
        <v>#REF!</v>
      </c>
      <c r="M14" s="300" t="e">
        <f>'Fluxo de Caixa 01'!#REF!*0.07+'Fluxo de Caixa 01'!#REF!</f>
        <v>#REF!</v>
      </c>
      <c r="N14" s="300" t="e">
        <f>'Fluxo de Caixa 01'!#REF!*0.07+'Fluxo de Caixa 01'!#REF!</f>
        <v>#REF!</v>
      </c>
      <c r="O14" s="291"/>
      <c r="P14" s="289" t="e">
        <f t="shared" si="6"/>
        <v>#REF!</v>
      </c>
    </row>
    <row r="15" spans="1:18" s="14" customFormat="1">
      <c r="A15" s="286" t="s">
        <v>46</v>
      </c>
      <c r="B15" s="286"/>
      <c r="C15" s="287">
        <f>SUM(C16:C19)</f>
        <v>75</v>
      </c>
      <c r="D15" s="287">
        <f t="shared" ref="D15:N15" si="8">SUM(D16:D19)</f>
        <v>75</v>
      </c>
      <c r="E15" s="287">
        <f t="shared" si="8"/>
        <v>75</v>
      </c>
      <c r="F15" s="287">
        <f t="shared" si="8"/>
        <v>75</v>
      </c>
      <c r="G15" s="287">
        <f t="shared" si="8"/>
        <v>75</v>
      </c>
      <c r="H15" s="287">
        <f t="shared" si="8"/>
        <v>75</v>
      </c>
      <c r="I15" s="287">
        <f t="shared" si="8"/>
        <v>75</v>
      </c>
      <c r="J15" s="287">
        <f t="shared" si="8"/>
        <v>75</v>
      </c>
      <c r="K15" s="287">
        <f t="shared" si="8"/>
        <v>75</v>
      </c>
      <c r="L15" s="287">
        <f t="shared" si="8"/>
        <v>75</v>
      </c>
      <c r="M15" s="287">
        <f t="shared" si="8"/>
        <v>75</v>
      </c>
      <c r="N15" s="287">
        <f t="shared" si="8"/>
        <v>75</v>
      </c>
      <c r="O15" s="288"/>
      <c r="P15" s="289">
        <f t="shared" si="6"/>
        <v>900</v>
      </c>
    </row>
    <row r="16" spans="1:18" s="14" customFormat="1">
      <c r="A16" s="292" t="s">
        <v>190</v>
      </c>
      <c r="B16" s="293"/>
      <c r="C16" s="294">
        <v>75</v>
      </c>
      <c r="D16" s="294">
        <v>75</v>
      </c>
      <c r="E16" s="294">
        <v>75</v>
      </c>
      <c r="F16" s="294">
        <v>75</v>
      </c>
      <c r="G16" s="294">
        <v>75</v>
      </c>
      <c r="H16" s="294">
        <v>75</v>
      </c>
      <c r="I16" s="294">
        <v>75</v>
      </c>
      <c r="J16" s="294">
        <v>75</v>
      </c>
      <c r="K16" s="294">
        <v>75</v>
      </c>
      <c r="L16" s="294">
        <v>75</v>
      </c>
      <c r="M16" s="294">
        <v>75</v>
      </c>
      <c r="N16" s="294">
        <v>75</v>
      </c>
      <c r="O16" s="291"/>
      <c r="P16" s="289">
        <f>SUM(C16:N16)</f>
        <v>900</v>
      </c>
    </row>
    <row r="17" spans="1:17">
      <c r="A17" s="292" t="s">
        <v>309</v>
      </c>
      <c r="B17" s="297">
        <v>0.7</v>
      </c>
      <c r="C17" s="294">
        <v>0</v>
      </c>
      <c r="D17" s="294">
        <v>0</v>
      </c>
      <c r="E17" s="294">
        <v>0</v>
      </c>
      <c r="F17" s="294">
        <v>0</v>
      </c>
      <c r="G17" s="294">
        <v>0</v>
      </c>
      <c r="H17" s="294">
        <v>0</v>
      </c>
      <c r="I17" s="294">
        <v>0</v>
      </c>
      <c r="J17" s="294">
        <v>0</v>
      </c>
      <c r="K17" s="294">
        <v>0</v>
      </c>
      <c r="L17" s="294">
        <v>0</v>
      </c>
      <c r="M17" s="294">
        <v>0</v>
      </c>
      <c r="N17" s="294">
        <v>0</v>
      </c>
      <c r="O17" s="291"/>
      <c r="P17" s="289">
        <f>SUM(C17:N17)</f>
        <v>0</v>
      </c>
    </row>
    <row r="18" spans="1:17">
      <c r="A18" s="292" t="s">
        <v>308</v>
      </c>
      <c r="B18" s="301">
        <v>0.3</v>
      </c>
      <c r="C18" s="294">
        <v>0</v>
      </c>
      <c r="D18" s="294">
        <v>0</v>
      </c>
      <c r="E18" s="294">
        <v>0</v>
      </c>
      <c r="F18" s="294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  <c r="N18" s="294">
        <v>0</v>
      </c>
      <c r="O18" s="291"/>
      <c r="P18" s="289">
        <f>SUM(C18:N18)</f>
        <v>0</v>
      </c>
    </row>
    <row r="19" spans="1:17">
      <c r="A19" s="291" t="s">
        <v>191</v>
      </c>
      <c r="B19" s="291"/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298">
        <v>0</v>
      </c>
      <c r="L19" s="298">
        <v>0</v>
      </c>
      <c r="M19" s="298">
        <v>0</v>
      </c>
      <c r="N19" s="298">
        <v>0</v>
      </c>
      <c r="O19" s="291"/>
      <c r="P19" s="289">
        <f>SUM(C19:N19)</f>
        <v>0</v>
      </c>
    </row>
    <row r="20" spans="1:17" s="14" customFormat="1">
      <c r="A20" s="286" t="s">
        <v>47</v>
      </c>
      <c r="B20" s="286"/>
      <c r="C20" s="287" t="e">
        <f t="shared" ref="C20:N20" si="9">C21+C24+C26+C28</f>
        <v>#REF!</v>
      </c>
      <c r="D20" s="287" t="e">
        <f t="shared" si="9"/>
        <v>#REF!</v>
      </c>
      <c r="E20" s="287" t="e">
        <f t="shared" si="9"/>
        <v>#REF!</v>
      </c>
      <c r="F20" s="287" t="e">
        <f t="shared" si="9"/>
        <v>#REF!</v>
      </c>
      <c r="G20" s="287" t="e">
        <f t="shared" si="9"/>
        <v>#REF!</v>
      </c>
      <c r="H20" s="287" t="e">
        <f t="shared" si="9"/>
        <v>#REF!</v>
      </c>
      <c r="I20" s="287" t="e">
        <f t="shared" si="9"/>
        <v>#REF!</v>
      </c>
      <c r="J20" s="287" t="e">
        <f t="shared" si="9"/>
        <v>#REF!</v>
      </c>
      <c r="K20" s="287" t="e">
        <f t="shared" si="9"/>
        <v>#REF!</v>
      </c>
      <c r="L20" s="287" t="e">
        <f t="shared" si="9"/>
        <v>#REF!</v>
      </c>
      <c r="M20" s="287" t="e">
        <f t="shared" si="9"/>
        <v>#REF!</v>
      </c>
      <c r="N20" s="287" t="e">
        <f t="shared" si="9"/>
        <v>#REF!</v>
      </c>
      <c r="O20" s="288"/>
      <c r="P20" s="289" t="e">
        <f t="shared" si="6"/>
        <v>#REF!</v>
      </c>
    </row>
    <row r="21" spans="1:17" s="14" customFormat="1">
      <c r="A21" s="286" t="s">
        <v>48</v>
      </c>
      <c r="B21" s="286"/>
      <c r="C21" s="287" t="e">
        <f t="shared" ref="C21:N21" si="10">SUM(C22:C23)</f>
        <v>#REF!</v>
      </c>
      <c r="D21" s="287" t="e">
        <f t="shared" si="10"/>
        <v>#REF!</v>
      </c>
      <c r="E21" s="287" t="e">
        <f t="shared" si="10"/>
        <v>#REF!</v>
      </c>
      <c r="F21" s="287" t="e">
        <f t="shared" si="10"/>
        <v>#REF!</v>
      </c>
      <c r="G21" s="287" t="e">
        <f t="shared" si="10"/>
        <v>#REF!</v>
      </c>
      <c r="H21" s="287" t="e">
        <f t="shared" si="10"/>
        <v>#REF!</v>
      </c>
      <c r="I21" s="287" t="e">
        <f t="shared" si="10"/>
        <v>#REF!</v>
      </c>
      <c r="J21" s="287" t="e">
        <f t="shared" si="10"/>
        <v>#REF!</v>
      </c>
      <c r="K21" s="287" t="e">
        <f t="shared" si="10"/>
        <v>#REF!</v>
      </c>
      <c r="L21" s="287" t="e">
        <f t="shared" si="10"/>
        <v>#REF!</v>
      </c>
      <c r="M21" s="287" t="e">
        <f t="shared" si="10"/>
        <v>#REF!</v>
      </c>
      <c r="N21" s="287" t="e">
        <f t="shared" si="10"/>
        <v>#REF!</v>
      </c>
      <c r="O21" s="288"/>
      <c r="P21" s="289" t="e">
        <f t="shared" si="6"/>
        <v>#REF!</v>
      </c>
    </row>
    <row r="22" spans="1:17">
      <c r="A22" s="292" t="s">
        <v>363</v>
      </c>
      <c r="B22" s="299" t="e">
        <f>Simples!D6</f>
        <v>#REF!</v>
      </c>
      <c r="C22" s="294" t="e">
        <f>C3*$B$22</f>
        <v>#REF!</v>
      </c>
      <c r="D22" s="294" t="e">
        <f t="shared" ref="D22:N22" si="11">D3*$B$22</f>
        <v>#REF!</v>
      </c>
      <c r="E22" s="294" t="e">
        <f t="shared" si="11"/>
        <v>#REF!</v>
      </c>
      <c r="F22" s="294" t="e">
        <f t="shared" si="11"/>
        <v>#REF!</v>
      </c>
      <c r="G22" s="294" t="e">
        <f t="shared" si="11"/>
        <v>#REF!</v>
      </c>
      <c r="H22" s="294" t="e">
        <f t="shared" si="11"/>
        <v>#REF!</v>
      </c>
      <c r="I22" s="294" t="e">
        <f t="shared" si="11"/>
        <v>#REF!</v>
      </c>
      <c r="J22" s="294" t="e">
        <f t="shared" si="11"/>
        <v>#REF!</v>
      </c>
      <c r="K22" s="294" t="e">
        <f t="shared" si="11"/>
        <v>#REF!</v>
      </c>
      <c r="L22" s="294" t="e">
        <f t="shared" si="11"/>
        <v>#REF!</v>
      </c>
      <c r="M22" s="294" t="e">
        <f t="shared" si="11"/>
        <v>#REF!</v>
      </c>
      <c r="N22" s="294" t="e">
        <f t="shared" si="11"/>
        <v>#REF!</v>
      </c>
      <c r="O22" s="291"/>
      <c r="P22" s="289" t="e">
        <f t="shared" si="6"/>
        <v>#REF!</v>
      </c>
    </row>
    <row r="23" spans="1:17">
      <c r="A23" s="292" t="s">
        <v>49</v>
      </c>
      <c r="B23" s="293">
        <v>0.01</v>
      </c>
      <c r="C23" s="294">
        <v>0</v>
      </c>
      <c r="D23" s="294">
        <v>0</v>
      </c>
      <c r="E23" s="294">
        <v>0</v>
      </c>
      <c r="F23" s="294">
        <v>0</v>
      </c>
      <c r="G23" s="294">
        <v>0</v>
      </c>
      <c r="H23" s="294">
        <v>0</v>
      </c>
      <c r="I23" s="294">
        <v>0</v>
      </c>
      <c r="J23" s="294">
        <v>0</v>
      </c>
      <c r="K23" s="294">
        <v>0</v>
      </c>
      <c r="L23" s="294">
        <v>0</v>
      </c>
      <c r="M23" s="294">
        <v>0</v>
      </c>
      <c r="N23" s="294">
        <v>0</v>
      </c>
      <c r="O23" s="294"/>
      <c r="P23" s="289">
        <f t="shared" si="6"/>
        <v>0</v>
      </c>
    </row>
    <row r="24" spans="1:17" s="14" customFormat="1">
      <c r="A24" s="286" t="s">
        <v>50</v>
      </c>
      <c r="B24" s="286"/>
      <c r="C24" s="287">
        <f>C25</f>
        <v>500</v>
      </c>
      <c r="D24" s="287">
        <f t="shared" ref="D24:N24" si="12">D25</f>
        <v>350</v>
      </c>
      <c r="E24" s="287">
        <f t="shared" si="12"/>
        <v>350</v>
      </c>
      <c r="F24" s="287">
        <f t="shared" si="12"/>
        <v>350</v>
      </c>
      <c r="G24" s="287">
        <f t="shared" si="12"/>
        <v>350</v>
      </c>
      <c r="H24" s="287">
        <f t="shared" si="12"/>
        <v>350</v>
      </c>
      <c r="I24" s="287">
        <f t="shared" si="12"/>
        <v>350</v>
      </c>
      <c r="J24" s="287">
        <f t="shared" si="12"/>
        <v>350</v>
      </c>
      <c r="K24" s="287">
        <f t="shared" si="12"/>
        <v>350</v>
      </c>
      <c r="L24" s="287">
        <f t="shared" si="12"/>
        <v>350</v>
      </c>
      <c r="M24" s="287">
        <f t="shared" si="12"/>
        <v>350</v>
      </c>
      <c r="N24" s="287">
        <f t="shared" si="12"/>
        <v>350</v>
      </c>
      <c r="O24" s="288"/>
      <c r="P24" s="289">
        <f t="shared" si="6"/>
        <v>4350</v>
      </c>
      <c r="Q24" s="25"/>
    </row>
    <row r="25" spans="1:17">
      <c r="A25" s="292" t="s">
        <v>306</v>
      </c>
      <c r="B25" s="292"/>
      <c r="C25" s="294">
        <v>500</v>
      </c>
      <c r="D25" s="294">
        <v>350</v>
      </c>
      <c r="E25" s="294">
        <v>350</v>
      </c>
      <c r="F25" s="294">
        <v>350</v>
      </c>
      <c r="G25" s="294">
        <v>350</v>
      </c>
      <c r="H25" s="294">
        <v>350</v>
      </c>
      <c r="I25" s="294">
        <v>350</v>
      </c>
      <c r="J25" s="294">
        <v>350</v>
      </c>
      <c r="K25" s="294">
        <v>350</v>
      </c>
      <c r="L25" s="294">
        <v>350</v>
      </c>
      <c r="M25" s="294">
        <v>350</v>
      </c>
      <c r="N25" s="294">
        <v>350</v>
      </c>
      <c r="O25" s="294">
        <v>350</v>
      </c>
      <c r="P25" s="289">
        <f>SUM(C25:N25)</f>
        <v>4350</v>
      </c>
    </row>
    <row r="26" spans="1:17" s="14" customFormat="1">
      <c r="A26" s="286" t="s">
        <v>51</v>
      </c>
      <c r="B26" s="286"/>
      <c r="C26" s="287" t="e">
        <f>C27</f>
        <v>#REF!</v>
      </c>
      <c r="D26" s="287" t="e">
        <f t="shared" ref="D26:N26" si="13">D27</f>
        <v>#REF!</v>
      </c>
      <c r="E26" s="287" t="e">
        <f t="shared" si="13"/>
        <v>#REF!</v>
      </c>
      <c r="F26" s="287" t="e">
        <f t="shared" si="13"/>
        <v>#REF!</v>
      </c>
      <c r="G26" s="287" t="e">
        <f t="shared" si="13"/>
        <v>#REF!</v>
      </c>
      <c r="H26" s="287" t="e">
        <f t="shared" si="13"/>
        <v>#REF!</v>
      </c>
      <c r="I26" s="287" t="e">
        <f t="shared" si="13"/>
        <v>#REF!</v>
      </c>
      <c r="J26" s="287" t="e">
        <f t="shared" si="13"/>
        <v>#REF!</v>
      </c>
      <c r="K26" s="287" t="e">
        <f t="shared" si="13"/>
        <v>#REF!</v>
      </c>
      <c r="L26" s="287" t="e">
        <f t="shared" si="13"/>
        <v>#REF!</v>
      </c>
      <c r="M26" s="287" t="e">
        <f t="shared" si="13"/>
        <v>#REF!</v>
      </c>
      <c r="N26" s="287" t="e">
        <f t="shared" si="13"/>
        <v>#REF!</v>
      </c>
      <c r="O26" s="288"/>
      <c r="P26" s="289" t="e">
        <f t="shared" si="6"/>
        <v>#REF!</v>
      </c>
    </row>
    <row r="27" spans="1:17">
      <c r="A27" s="292" t="s">
        <v>198</v>
      </c>
      <c r="B27" s="296">
        <v>0.5</v>
      </c>
      <c r="C27" s="294" t="e">
        <f>'Fluxo de Caixa 01'!#REF!*0.1+'Fluxo de Caixa 01'!#REF!</f>
        <v>#REF!</v>
      </c>
      <c r="D27" s="294" t="e">
        <f>'Fluxo de Caixa 01'!#REF!*0.1+'Fluxo de Caixa 01'!#REF!</f>
        <v>#REF!</v>
      </c>
      <c r="E27" s="294" t="e">
        <f>'Fluxo de Caixa 01'!#REF!*0.1+'Fluxo de Caixa 01'!#REF!</f>
        <v>#REF!</v>
      </c>
      <c r="F27" s="294" t="e">
        <f>'Fluxo de Caixa 01'!#REF!*0.1+'Fluxo de Caixa 01'!#REF!</f>
        <v>#REF!</v>
      </c>
      <c r="G27" s="294" t="e">
        <f>'Fluxo de Caixa 01'!#REF!*0.1+'Fluxo de Caixa 01'!#REF!</f>
        <v>#REF!</v>
      </c>
      <c r="H27" s="294" t="e">
        <f>'Fluxo de Caixa 01'!#REF!*0.1+'Fluxo de Caixa 01'!#REF!</f>
        <v>#REF!</v>
      </c>
      <c r="I27" s="294" t="e">
        <f>'Fluxo de Caixa 01'!#REF!*0.1+'Fluxo de Caixa 01'!#REF!</f>
        <v>#REF!</v>
      </c>
      <c r="J27" s="294" t="e">
        <f>'Fluxo de Caixa 01'!#REF!*0.1+'Fluxo de Caixa 01'!#REF!</f>
        <v>#REF!</v>
      </c>
      <c r="K27" s="294" t="e">
        <f>'Fluxo de Caixa 01'!#REF!*0.1+'Fluxo de Caixa 01'!#REF!</f>
        <v>#REF!</v>
      </c>
      <c r="L27" s="294" t="e">
        <f>'Fluxo de Caixa 01'!#REF!*0.1+'Fluxo de Caixa 01'!#REF!</f>
        <v>#REF!</v>
      </c>
      <c r="M27" s="294" t="e">
        <f>'Fluxo de Caixa 01'!#REF!*0.1+'Fluxo de Caixa 01'!#REF!</f>
        <v>#REF!</v>
      </c>
      <c r="N27" s="294" t="e">
        <f>'Fluxo de Caixa 01'!#REF!*0.1+'Fluxo de Caixa 01'!#REF!</f>
        <v>#REF!</v>
      </c>
      <c r="O27" s="291"/>
      <c r="P27" s="289" t="e">
        <f t="shared" si="6"/>
        <v>#REF!</v>
      </c>
    </row>
    <row r="28" spans="1:17" s="14" customFormat="1">
      <c r="A28" s="286" t="s">
        <v>52</v>
      </c>
      <c r="B28" s="286"/>
      <c r="C28" s="287" t="e">
        <f t="shared" ref="C28:N28" si="14">SUM(C29:C32)</f>
        <v>#REF!</v>
      </c>
      <c r="D28" s="287" t="e">
        <f t="shared" si="14"/>
        <v>#REF!</v>
      </c>
      <c r="E28" s="287" t="e">
        <f t="shared" si="14"/>
        <v>#REF!</v>
      </c>
      <c r="F28" s="287" t="e">
        <f t="shared" si="14"/>
        <v>#REF!</v>
      </c>
      <c r="G28" s="287" t="e">
        <f t="shared" si="14"/>
        <v>#REF!</v>
      </c>
      <c r="H28" s="287" t="e">
        <f t="shared" si="14"/>
        <v>#REF!</v>
      </c>
      <c r="I28" s="287" t="e">
        <f t="shared" si="14"/>
        <v>#REF!</v>
      </c>
      <c r="J28" s="287" t="e">
        <f t="shared" si="14"/>
        <v>#REF!</v>
      </c>
      <c r="K28" s="287" t="e">
        <f t="shared" si="14"/>
        <v>#REF!</v>
      </c>
      <c r="L28" s="287" t="e">
        <f t="shared" si="14"/>
        <v>#REF!</v>
      </c>
      <c r="M28" s="287" t="e">
        <f t="shared" si="14"/>
        <v>#REF!</v>
      </c>
      <c r="N28" s="287" t="e">
        <f t="shared" si="14"/>
        <v>#REF!</v>
      </c>
      <c r="O28" s="288"/>
      <c r="P28" s="289" t="e">
        <f t="shared" si="6"/>
        <v>#REF!</v>
      </c>
      <c r="Q28" s="25"/>
    </row>
    <row r="29" spans="1:17">
      <c r="A29" s="292" t="s">
        <v>369</v>
      </c>
      <c r="B29" s="292"/>
      <c r="C29" s="300" t="e">
        <f>'Fluxo de Caixa 01'!#REF!*0.07+'Fluxo de Caixa 01'!#REF!</f>
        <v>#REF!</v>
      </c>
      <c r="D29" s="300" t="e">
        <f>'Fluxo de Caixa 01'!#REF!*0.07+'Fluxo de Caixa 01'!#REF!</f>
        <v>#REF!</v>
      </c>
      <c r="E29" s="300" t="e">
        <f>'Fluxo de Caixa 01'!#REF!*0.07+'Fluxo de Caixa 01'!#REF!</f>
        <v>#REF!</v>
      </c>
      <c r="F29" s="300" t="e">
        <f>'Fluxo de Caixa 01'!#REF!*0.07+'Fluxo de Caixa 01'!#REF!</f>
        <v>#REF!</v>
      </c>
      <c r="G29" s="300" t="e">
        <f>'Fluxo de Caixa 01'!#REF!*0.07+'Fluxo de Caixa 01'!#REF!</f>
        <v>#REF!</v>
      </c>
      <c r="H29" s="300" t="e">
        <f>'Fluxo de Caixa 01'!#REF!*0.07+'Fluxo de Caixa 01'!#REF!</f>
        <v>#REF!</v>
      </c>
      <c r="I29" s="300" t="e">
        <f>'Fluxo de Caixa 01'!#REF!*0.07+'Fluxo de Caixa 01'!#REF!</f>
        <v>#REF!</v>
      </c>
      <c r="J29" s="300" t="e">
        <f>'Fluxo de Caixa 01'!#REF!*0.07+'Fluxo de Caixa 01'!#REF!</f>
        <v>#REF!</v>
      </c>
      <c r="K29" s="300" t="e">
        <f>'Fluxo de Caixa 01'!#REF!*0.07+'Fluxo de Caixa 01'!#REF!</f>
        <v>#REF!</v>
      </c>
      <c r="L29" s="300" t="e">
        <f>'Fluxo de Caixa 01'!#REF!*0.07+'Fluxo de Caixa 01'!#REF!</f>
        <v>#REF!</v>
      </c>
      <c r="M29" s="300" t="e">
        <f>'Fluxo de Caixa 01'!#REF!*0.07+'Fluxo de Caixa 01'!#REF!</f>
        <v>#REF!</v>
      </c>
      <c r="N29" s="300" t="e">
        <f>'Fluxo de Caixa 01'!#REF!*0.07+'Fluxo de Caixa 01'!#REF!</f>
        <v>#REF!</v>
      </c>
      <c r="O29" s="291"/>
      <c r="P29" s="289" t="e">
        <f>SUM(C29:N29)</f>
        <v>#REF!</v>
      </c>
    </row>
    <row r="30" spans="1:17">
      <c r="A30" s="292" t="s">
        <v>370</v>
      </c>
      <c r="B30" s="292"/>
      <c r="C30" s="300" t="e">
        <f>'Fluxo de Caixa 01'!#REF!*0.07+'Fluxo de Caixa 01'!#REF!</f>
        <v>#REF!</v>
      </c>
      <c r="D30" s="300" t="e">
        <f>'Fluxo de Caixa 01'!#REF!*0.07+'Fluxo de Caixa 01'!#REF!</f>
        <v>#REF!</v>
      </c>
      <c r="E30" s="300" t="e">
        <f>'Fluxo de Caixa 01'!#REF!*0.07+'Fluxo de Caixa 01'!#REF!</f>
        <v>#REF!</v>
      </c>
      <c r="F30" s="300" t="e">
        <f>'Fluxo de Caixa 01'!#REF!*0.07+'Fluxo de Caixa 01'!#REF!</f>
        <v>#REF!</v>
      </c>
      <c r="G30" s="300" t="e">
        <f>'Fluxo de Caixa 01'!#REF!*0.07+'Fluxo de Caixa 01'!#REF!</f>
        <v>#REF!</v>
      </c>
      <c r="H30" s="300" t="e">
        <f>'Fluxo de Caixa 01'!#REF!*0.07+'Fluxo de Caixa 01'!#REF!</f>
        <v>#REF!</v>
      </c>
      <c r="I30" s="300" t="e">
        <f>'Fluxo de Caixa 01'!#REF!*0.07+'Fluxo de Caixa 01'!#REF!</f>
        <v>#REF!</v>
      </c>
      <c r="J30" s="300" t="e">
        <f>'Fluxo de Caixa 01'!#REF!*0.07+'Fluxo de Caixa 01'!#REF!</f>
        <v>#REF!</v>
      </c>
      <c r="K30" s="300" t="e">
        <f>'Fluxo de Caixa 01'!#REF!*0.07+'Fluxo de Caixa 01'!#REF!</f>
        <v>#REF!</v>
      </c>
      <c r="L30" s="300" t="e">
        <f>'Fluxo de Caixa 01'!#REF!*0.07+'Fluxo de Caixa 01'!#REF!</f>
        <v>#REF!</v>
      </c>
      <c r="M30" s="300" t="e">
        <f>'Fluxo de Caixa 01'!#REF!*0.07+'Fluxo de Caixa 01'!#REF!</f>
        <v>#REF!</v>
      </c>
      <c r="N30" s="300" t="e">
        <f>'Fluxo de Caixa 01'!#REF!*0.07+'Fluxo de Caixa 01'!#REF!</f>
        <v>#REF!</v>
      </c>
      <c r="O30" s="291"/>
      <c r="P30" s="289" t="e">
        <f>SUM(C30:N30)</f>
        <v>#REF!</v>
      </c>
    </row>
    <row r="31" spans="1:17">
      <c r="A31" s="292" t="s">
        <v>371</v>
      </c>
      <c r="B31" s="292"/>
      <c r="C31" s="300">
        <f>'Fluxo de Caixa 01'!C16</f>
        <v>0</v>
      </c>
      <c r="D31" s="300">
        <f>'Fluxo de Caixa 01'!D16</f>
        <v>0</v>
      </c>
      <c r="E31" s="300">
        <f>'Fluxo de Caixa 01'!E16</f>
        <v>0</v>
      </c>
      <c r="F31" s="300">
        <f>'Fluxo de Caixa 01'!F16</f>
        <v>0</v>
      </c>
      <c r="G31" s="300">
        <f>'Fluxo de Caixa 01'!G16</f>
        <v>0</v>
      </c>
      <c r="H31" s="300">
        <f>'Fluxo de Caixa 01'!H16</f>
        <v>0</v>
      </c>
      <c r="I31" s="300">
        <v>0</v>
      </c>
      <c r="J31" s="300">
        <v>0</v>
      </c>
      <c r="K31" s="300">
        <f>'Fluxo de Caixa 01'!K16</f>
        <v>0</v>
      </c>
      <c r="L31" s="300">
        <f>'Fluxo de Caixa 01'!L16</f>
        <v>0</v>
      </c>
      <c r="M31" s="300">
        <f>'Fluxo de Caixa 01'!M16</f>
        <v>0</v>
      </c>
      <c r="N31" s="300">
        <f>'Fluxo de Caixa 01'!N16</f>
        <v>0</v>
      </c>
      <c r="O31" s="300">
        <f>'Fluxo de Caixa 01'!O16</f>
        <v>0</v>
      </c>
      <c r="P31" s="289">
        <f>SUM(C31:N31)</f>
        <v>0</v>
      </c>
    </row>
    <row r="32" spans="1:17">
      <c r="A32" s="292" t="s">
        <v>372</v>
      </c>
      <c r="B32" s="292"/>
      <c r="C32" s="300">
        <v>0</v>
      </c>
      <c r="D32" s="294">
        <v>0</v>
      </c>
      <c r="E32" s="294">
        <f>C32</f>
        <v>0</v>
      </c>
      <c r="F32" s="294">
        <v>0</v>
      </c>
      <c r="G32" s="294">
        <v>0</v>
      </c>
      <c r="H32" s="294">
        <v>0</v>
      </c>
      <c r="I32" s="294">
        <v>0</v>
      </c>
      <c r="J32" s="294">
        <v>0</v>
      </c>
      <c r="K32" s="294">
        <v>0</v>
      </c>
      <c r="L32" s="294">
        <v>0</v>
      </c>
      <c r="M32" s="294">
        <v>0</v>
      </c>
      <c r="N32" s="294">
        <v>0</v>
      </c>
      <c r="O32" s="291"/>
      <c r="P32" s="289">
        <f>SUM(C32:N32)</f>
        <v>0</v>
      </c>
    </row>
    <row r="33" spans="1:16" s="14" customFormat="1">
      <c r="A33" s="407" t="s">
        <v>53</v>
      </c>
      <c r="B33" s="407"/>
      <c r="C33" s="408" t="e">
        <f t="shared" ref="C33:N33" si="15">C3-C6+C2</f>
        <v>#REF!</v>
      </c>
      <c r="D33" s="408" t="e">
        <f t="shared" si="15"/>
        <v>#REF!</v>
      </c>
      <c r="E33" s="408" t="e">
        <f t="shared" si="15"/>
        <v>#REF!</v>
      </c>
      <c r="F33" s="408" t="e">
        <f t="shared" si="15"/>
        <v>#REF!</v>
      </c>
      <c r="G33" s="408" t="e">
        <f t="shared" si="15"/>
        <v>#REF!</v>
      </c>
      <c r="H33" s="408" t="e">
        <f t="shared" si="15"/>
        <v>#REF!</v>
      </c>
      <c r="I33" s="408" t="e">
        <f t="shared" si="15"/>
        <v>#REF!</v>
      </c>
      <c r="J33" s="408" t="e">
        <f t="shared" si="15"/>
        <v>#REF!</v>
      </c>
      <c r="K33" s="408" t="e">
        <f t="shared" si="15"/>
        <v>#REF!</v>
      </c>
      <c r="L33" s="408" t="e">
        <f t="shared" si="15"/>
        <v>#REF!</v>
      </c>
      <c r="M33" s="408" t="e">
        <f t="shared" si="15"/>
        <v>#REF!</v>
      </c>
      <c r="N33" s="408" t="e">
        <f t="shared" si="15"/>
        <v>#REF!</v>
      </c>
      <c r="O33" s="409"/>
      <c r="P33" s="410" t="e">
        <f>N33</f>
        <v>#REF!</v>
      </c>
    </row>
    <row r="34" spans="1:16" ht="10.5" customHeight="1">
      <c r="A34" s="17" t="s">
        <v>458</v>
      </c>
      <c r="B34" s="17"/>
      <c r="C34" s="18" t="e">
        <f>N33-C2</f>
        <v>#REF!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>
    <tabColor rgb="FF00B0F0"/>
  </sheetPr>
  <dimension ref="A1:R41"/>
  <sheetViews>
    <sheetView topLeftCell="F10" zoomScale="83" zoomScaleNormal="83" workbookViewId="0">
      <selection activeCell="A34" sqref="A34:C34"/>
    </sheetView>
  </sheetViews>
  <sheetFormatPr defaultColWidth="9.140625" defaultRowHeight="12"/>
  <cols>
    <col min="1" max="1" width="29.7109375" style="11" bestFit="1" customWidth="1"/>
    <col min="2" max="2" width="7.140625" style="11" customWidth="1"/>
    <col min="3" max="3" width="18.140625" style="11" customWidth="1"/>
    <col min="4" max="4" width="17.7109375" style="11" customWidth="1"/>
    <col min="5" max="5" width="17.28515625" style="11" customWidth="1"/>
    <col min="6" max="6" width="19.42578125" style="11" customWidth="1"/>
    <col min="7" max="7" width="20" style="11" customWidth="1"/>
    <col min="8" max="8" width="17.85546875" style="11" customWidth="1"/>
    <col min="9" max="9" width="20.28515625" style="11" customWidth="1"/>
    <col min="10" max="10" width="19.28515625" style="11" customWidth="1"/>
    <col min="11" max="12" width="17.5703125" style="11" customWidth="1"/>
    <col min="13" max="13" width="17.140625" style="11" customWidth="1"/>
    <col min="14" max="14" width="16.85546875" style="1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>
      <c r="A1" s="507" t="s">
        <v>57</v>
      </c>
      <c r="B1" s="507"/>
      <c r="C1" s="426" t="s">
        <v>1</v>
      </c>
      <c r="D1" s="426" t="s">
        <v>2</v>
      </c>
      <c r="E1" s="426" t="s">
        <v>3</v>
      </c>
      <c r="F1" s="426" t="s">
        <v>4</v>
      </c>
      <c r="G1" s="426" t="s">
        <v>5</v>
      </c>
      <c r="H1" s="426" t="s">
        <v>6</v>
      </c>
      <c r="I1" s="426" t="s">
        <v>7</v>
      </c>
      <c r="J1" s="426" t="s">
        <v>8</v>
      </c>
      <c r="K1" s="426" t="s">
        <v>9</v>
      </c>
      <c r="L1" s="426" t="s">
        <v>10</v>
      </c>
      <c r="M1" s="426" t="s">
        <v>11</v>
      </c>
      <c r="N1" s="426" t="s">
        <v>12</v>
      </c>
      <c r="O1" s="426"/>
      <c r="P1" s="427" t="s">
        <v>22</v>
      </c>
    </row>
    <row r="2" spans="1:18" s="14" customFormat="1">
      <c r="A2" s="286" t="s">
        <v>40</v>
      </c>
      <c r="B2" s="286"/>
      <c r="C2" s="287" t="e">
        <f>'Fluxo de Caixa 02'!N33</f>
        <v>#REF!</v>
      </c>
      <c r="D2" s="287" t="e">
        <f>C33</f>
        <v>#REF!</v>
      </c>
      <c r="E2" s="287" t="e">
        <f t="shared" ref="E2:N2" si="0">D33</f>
        <v>#REF!</v>
      </c>
      <c r="F2" s="287" t="e">
        <f t="shared" si="0"/>
        <v>#REF!</v>
      </c>
      <c r="G2" s="287" t="e">
        <f t="shared" si="0"/>
        <v>#REF!</v>
      </c>
      <c r="H2" s="287" t="e">
        <f t="shared" si="0"/>
        <v>#REF!</v>
      </c>
      <c r="I2" s="287" t="e">
        <f t="shared" si="0"/>
        <v>#REF!</v>
      </c>
      <c r="J2" s="287" t="e">
        <f t="shared" si="0"/>
        <v>#REF!</v>
      </c>
      <c r="K2" s="287" t="e">
        <f t="shared" si="0"/>
        <v>#REF!</v>
      </c>
      <c r="L2" s="287" t="e">
        <f t="shared" si="0"/>
        <v>#REF!</v>
      </c>
      <c r="M2" s="287" t="e">
        <f t="shared" si="0"/>
        <v>#REF!</v>
      </c>
      <c r="N2" s="287" t="e">
        <f t="shared" si="0"/>
        <v>#REF!</v>
      </c>
      <c r="O2" s="288"/>
      <c r="P2" s="289" t="e">
        <f>N2</f>
        <v>#REF!</v>
      </c>
      <c r="Q2" s="15"/>
      <c r="R2" s="13"/>
    </row>
    <row r="3" spans="1:18">
      <c r="A3" s="286" t="s">
        <v>41</v>
      </c>
      <c r="B3" s="290"/>
      <c r="C3" s="366" t="e">
        <f>faturamento!#REF!</f>
        <v>#REF!</v>
      </c>
      <c r="D3" s="366" t="e">
        <f>faturamento!#REF!</f>
        <v>#REF!</v>
      </c>
      <c r="E3" s="366" t="e">
        <f>faturamento!#REF!</f>
        <v>#REF!</v>
      </c>
      <c r="F3" s="366" t="e">
        <f>faturamento!#REF!</f>
        <v>#REF!</v>
      </c>
      <c r="G3" s="366" t="e">
        <f>faturamento!#REF!</f>
        <v>#REF!</v>
      </c>
      <c r="H3" s="366" t="e">
        <f>faturamento!#REF!</f>
        <v>#REF!</v>
      </c>
      <c r="I3" s="366" t="e">
        <f>faturamento!#REF!</f>
        <v>#REF!</v>
      </c>
      <c r="J3" s="366" t="e">
        <f>faturamento!#REF!</f>
        <v>#REF!</v>
      </c>
      <c r="K3" s="366" t="e">
        <f>faturamento!#REF!</f>
        <v>#REF!</v>
      </c>
      <c r="L3" s="366" t="e">
        <f>faturamento!#REF!</f>
        <v>#REF!</v>
      </c>
      <c r="M3" s="366" t="e">
        <f>faturamento!#REF!</f>
        <v>#REF!</v>
      </c>
      <c r="N3" s="366" t="e">
        <f>faturamento!#REF!</f>
        <v>#REF!</v>
      </c>
      <c r="O3" s="366" t="e">
        <f>faturamento!#REF!</f>
        <v>#REF!</v>
      </c>
      <c r="P3" s="365" t="e">
        <f>SUM(C3:N3)</f>
        <v>#REF!</v>
      </c>
    </row>
    <row r="4" spans="1:18">
      <c r="A4" s="292" t="s">
        <v>97</v>
      </c>
      <c r="B4" s="293">
        <v>0.7</v>
      </c>
      <c r="C4" s="364" t="e">
        <f>C3*$B$4</f>
        <v>#REF!</v>
      </c>
      <c r="D4" s="364" t="e">
        <f t="shared" ref="D4:N4" si="1">D3*$B$4</f>
        <v>#REF!</v>
      </c>
      <c r="E4" s="364" t="e">
        <f t="shared" si="1"/>
        <v>#REF!</v>
      </c>
      <c r="F4" s="364" t="e">
        <f t="shared" si="1"/>
        <v>#REF!</v>
      </c>
      <c r="G4" s="364" t="e">
        <f t="shared" si="1"/>
        <v>#REF!</v>
      </c>
      <c r="H4" s="364" t="e">
        <f t="shared" si="1"/>
        <v>#REF!</v>
      </c>
      <c r="I4" s="364" t="e">
        <f t="shared" si="1"/>
        <v>#REF!</v>
      </c>
      <c r="J4" s="364" t="e">
        <f t="shared" si="1"/>
        <v>#REF!</v>
      </c>
      <c r="K4" s="364" t="e">
        <f t="shared" si="1"/>
        <v>#REF!</v>
      </c>
      <c r="L4" s="364" t="e">
        <f t="shared" si="1"/>
        <v>#REF!</v>
      </c>
      <c r="M4" s="364" t="e">
        <f t="shared" si="1"/>
        <v>#REF!</v>
      </c>
      <c r="N4" s="364" t="e">
        <f t="shared" si="1"/>
        <v>#REF!</v>
      </c>
      <c r="O4" s="292"/>
      <c r="P4" s="365" t="e">
        <f t="shared" ref="P4:P5" si="2">SUM(C4:N4)</f>
        <v>#REF!</v>
      </c>
    </row>
    <row r="5" spans="1:18">
      <c r="A5" s="292" t="s">
        <v>42</v>
      </c>
      <c r="B5" s="293">
        <v>0.3</v>
      </c>
      <c r="C5" s="364" t="e">
        <f>C3*$B$5</f>
        <v>#REF!</v>
      </c>
      <c r="D5" s="364" t="e">
        <f t="shared" ref="D5:N5" si="3">D3*$B$5</f>
        <v>#REF!</v>
      </c>
      <c r="E5" s="364" t="e">
        <f t="shared" si="3"/>
        <v>#REF!</v>
      </c>
      <c r="F5" s="364" t="e">
        <f t="shared" si="3"/>
        <v>#REF!</v>
      </c>
      <c r="G5" s="364" t="e">
        <f t="shared" si="3"/>
        <v>#REF!</v>
      </c>
      <c r="H5" s="364" t="e">
        <f t="shared" si="3"/>
        <v>#REF!</v>
      </c>
      <c r="I5" s="364" t="e">
        <f t="shared" si="3"/>
        <v>#REF!</v>
      </c>
      <c r="J5" s="364" t="e">
        <f t="shared" si="3"/>
        <v>#REF!</v>
      </c>
      <c r="K5" s="364" t="e">
        <f t="shared" si="3"/>
        <v>#REF!</v>
      </c>
      <c r="L5" s="364" t="e">
        <f t="shared" si="3"/>
        <v>#REF!</v>
      </c>
      <c r="M5" s="364" t="e">
        <f t="shared" si="3"/>
        <v>#REF!</v>
      </c>
      <c r="N5" s="364" t="e">
        <f t="shared" si="3"/>
        <v>#REF!</v>
      </c>
      <c r="O5" s="292"/>
      <c r="P5" s="365" t="e">
        <f t="shared" si="2"/>
        <v>#REF!</v>
      </c>
    </row>
    <row r="6" spans="1:18" s="14" customFormat="1">
      <c r="A6" s="286" t="s">
        <v>43</v>
      </c>
      <c r="B6" s="286"/>
      <c r="C6" s="287" t="e">
        <f t="shared" ref="C6:N6" si="4">C7+C20</f>
        <v>#REF!</v>
      </c>
      <c r="D6" s="287" t="e">
        <f t="shared" si="4"/>
        <v>#REF!</v>
      </c>
      <c r="E6" s="287" t="e">
        <f t="shared" si="4"/>
        <v>#REF!</v>
      </c>
      <c r="F6" s="287" t="e">
        <f t="shared" si="4"/>
        <v>#REF!</v>
      </c>
      <c r="G6" s="287" t="e">
        <f t="shared" si="4"/>
        <v>#REF!</v>
      </c>
      <c r="H6" s="287" t="e">
        <f t="shared" si="4"/>
        <v>#REF!</v>
      </c>
      <c r="I6" s="287" t="e">
        <f t="shared" si="4"/>
        <v>#REF!</v>
      </c>
      <c r="J6" s="287" t="e">
        <f t="shared" si="4"/>
        <v>#REF!</v>
      </c>
      <c r="K6" s="287" t="e">
        <f t="shared" si="4"/>
        <v>#REF!</v>
      </c>
      <c r="L6" s="287" t="e">
        <f t="shared" si="4"/>
        <v>#REF!</v>
      </c>
      <c r="M6" s="287" t="e">
        <f t="shared" si="4"/>
        <v>#REF!</v>
      </c>
      <c r="N6" s="287" t="e">
        <f t="shared" si="4"/>
        <v>#REF!</v>
      </c>
      <c r="O6" s="288"/>
      <c r="P6" s="289" t="e">
        <f>SUM(C6:N6)</f>
        <v>#REF!</v>
      </c>
    </row>
    <row r="7" spans="1:18" s="14" customFormat="1">
      <c r="A7" s="286" t="s">
        <v>44</v>
      </c>
      <c r="B7" s="286"/>
      <c r="C7" s="287" t="e">
        <f t="shared" ref="C7:N7" si="5">C8+C15</f>
        <v>#REF!</v>
      </c>
      <c r="D7" s="287" t="e">
        <f t="shared" si="5"/>
        <v>#REF!</v>
      </c>
      <c r="E7" s="287" t="e">
        <f t="shared" si="5"/>
        <v>#REF!</v>
      </c>
      <c r="F7" s="287" t="e">
        <f t="shared" si="5"/>
        <v>#REF!</v>
      </c>
      <c r="G7" s="287" t="e">
        <f t="shared" si="5"/>
        <v>#REF!</v>
      </c>
      <c r="H7" s="287" t="e">
        <f t="shared" si="5"/>
        <v>#REF!</v>
      </c>
      <c r="I7" s="287" t="e">
        <f t="shared" si="5"/>
        <v>#REF!</v>
      </c>
      <c r="J7" s="287" t="e">
        <f t="shared" si="5"/>
        <v>#REF!</v>
      </c>
      <c r="K7" s="287" t="e">
        <f t="shared" si="5"/>
        <v>#REF!</v>
      </c>
      <c r="L7" s="287" t="e">
        <f t="shared" si="5"/>
        <v>#REF!</v>
      </c>
      <c r="M7" s="287" t="e">
        <f t="shared" si="5"/>
        <v>#REF!</v>
      </c>
      <c r="N7" s="287" t="e">
        <f t="shared" si="5"/>
        <v>#REF!</v>
      </c>
      <c r="O7" s="288"/>
      <c r="P7" s="289" t="e">
        <f t="shared" ref="P7:P28" si="6">SUM(C7:N7)</f>
        <v>#REF!</v>
      </c>
    </row>
    <row r="8" spans="1:18" s="14" customFormat="1">
      <c r="A8" s="286" t="s">
        <v>45</v>
      </c>
      <c r="B8" s="286"/>
      <c r="C8" s="287" t="e">
        <f t="shared" ref="C8:N8" si="7">SUM(C9:C14)</f>
        <v>#REF!</v>
      </c>
      <c r="D8" s="287" t="e">
        <f t="shared" si="7"/>
        <v>#REF!</v>
      </c>
      <c r="E8" s="287" t="e">
        <f t="shared" si="7"/>
        <v>#REF!</v>
      </c>
      <c r="F8" s="287" t="e">
        <f t="shared" si="7"/>
        <v>#REF!</v>
      </c>
      <c r="G8" s="287" t="e">
        <f t="shared" si="7"/>
        <v>#REF!</v>
      </c>
      <c r="H8" s="287" t="e">
        <f t="shared" si="7"/>
        <v>#REF!</v>
      </c>
      <c r="I8" s="287" t="e">
        <f t="shared" si="7"/>
        <v>#REF!</v>
      </c>
      <c r="J8" s="287" t="e">
        <f t="shared" si="7"/>
        <v>#REF!</v>
      </c>
      <c r="K8" s="287" t="e">
        <f t="shared" si="7"/>
        <v>#REF!</v>
      </c>
      <c r="L8" s="287" t="e">
        <f t="shared" si="7"/>
        <v>#REF!</v>
      </c>
      <c r="M8" s="287" t="e">
        <f t="shared" si="7"/>
        <v>#REF!</v>
      </c>
      <c r="N8" s="287" t="e">
        <f t="shared" si="7"/>
        <v>#REF!</v>
      </c>
      <c r="O8" s="288"/>
      <c r="P8" s="289" t="e">
        <f t="shared" si="6"/>
        <v>#REF!</v>
      </c>
      <c r="Q8" s="25"/>
    </row>
    <row r="9" spans="1:18">
      <c r="A9" s="292" t="s">
        <v>365</v>
      </c>
      <c r="B9" s="292"/>
      <c r="C9" s="300" t="e">
        <f>'Fluxo de Caixa 01'!#REF!*0.07+'Fluxo de Caixa 01'!#REF!</f>
        <v>#REF!</v>
      </c>
      <c r="D9" s="300" t="e">
        <f>'Fluxo de Caixa 01'!#REF!*0.07+'Fluxo de Caixa 01'!#REF!</f>
        <v>#REF!</v>
      </c>
      <c r="E9" s="300" t="e">
        <f>'Fluxo de Caixa 01'!#REF!*0.07+'Fluxo de Caixa 01'!#REF!</f>
        <v>#REF!</v>
      </c>
      <c r="F9" s="300" t="e">
        <f>'Fluxo de Caixa 01'!#REF!*0.07+'Fluxo de Caixa 01'!#REF!</f>
        <v>#REF!</v>
      </c>
      <c r="G9" s="300" t="e">
        <f>'Fluxo de Caixa 01'!#REF!*0.07+'Fluxo de Caixa 01'!#REF!</f>
        <v>#REF!</v>
      </c>
      <c r="H9" s="300" t="e">
        <f>'Fluxo de Caixa 01'!#REF!*0.07+'Fluxo de Caixa 01'!#REF!</f>
        <v>#REF!</v>
      </c>
      <c r="I9" s="300" t="e">
        <f>'Fluxo de Caixa 01'!#REF!*0.07+'Fluxo de Caixa 01'!#REF!</f>
        <v>#REF!</v>
      </c>
      <c r="J9" s="300" t="e">
        <f>'Fluxo de Caixa 01'!#REF!*0.07+'Fluxo de Caixa 01'!#REF!</f>
        <v>#REF!</v>
      </c>
      <c r="K9" s="300" t="e">
        <f>'Fluxo de Caixa 01'!#REF!*0.07+'Fluxo de Caixa 01'!#REF!</f>
        <v>#REF!</v>
      </c>
      <c r="L9" s="300" t="e">
        <f>'Fluxo de Caixa 01'!#REF!*0.07+'Fluxo de Caixa 01'!#REF!</f>
        <v>#REF!</v>
      </c>
      <c r="M9" s="300" t="e">
        <f>'Fluxo de Caixa 01'!#REF!*0.07+'Fluxo de Caixa 01'!#REF!</f>
        <v>#REF!</v>
      </c>
      <c r="N9" s="300" t="e">
        <f>'Fluxo de Caixa 01'!#REF!*0.07+'Fluxo de Caixa 01'!#REF!</f>
        <v>#REF!</v>
      </c>
      <c r="O9" s="291"/>
      <c r="P9" s="289" t="e">
        <f t="shared" si="6"/>
        <v>#REF!</v>
      </c>
    </row>
    <row r="10" spans="1:18">
      <c r="A10" s="292" t="s">
        <v>367</v>
      </c>
      <c r="B10" s="296"/>
      <c r="C10" s="300" t="e">
        <f>'Fluxo de Caixa 01'!#REF!*0.07+'Fluxo de Caixa 01'!#REF!</f>
        <v>#REF!</v>
      </c>
      <c r="D10" s="300" t="e">
        <f>'Fluxo de Caixa 01'!#REF!*0.07+'Fluxo de Caixa 01'!#REF!</f>
        <v>#REF!</v>
      </c>
      <c r="E10" s="300" t="e">
        <f>'Fluxo de Caixa 01'!#REF!*0.07+'Fluxo de Caixa 01'!#REF!</f>
        <v>#REF!</v>
      </c>
      <c r="F10" s="300" t="e">
        <f>'Fluxo de Caixa 01'!#REF!*0.07+'Fluxo de Caixa 01'!#REF!</f>
        <v>#REF!</v>
      </c>
      <c r="G10" s="300" t="e">
        <f>'Fluxo de Caixa 01'!#REF!*0.07+'Fluxo de Caixa 01'!#REF!</f>
        <v>#REF!</v>
      </c>
      <c r="H10" s="300" t="e">
        <f>'Fluxo de Caixa 01'!#REF!*0.07+'Fluxo de Caixa 01'!#REF!</f>
        <v>#REF!</v>
      </c>
      <c r="I10" s="300" t="e">
        <f>'Fluxo de Caixa 01'!#REF!*0.07+'Fluxo de Caixa 01'!#REF!</f>
        <v>#REF!</v>
      </c>
      <c r="J10" s="300" t="e">
        <f>'Fluxo de Caixa 01'!#REF!*0.07+'Fluxo de Caixa 01'!#REF!</f>
        <v>#REF!</v>
      </c>
      <c r="K10" s="300" t="e">
        <f>'Fluxo de Caixa 01'!#REF!*0.07+'Fluxo de Caixa 01'!#REF!</f>
        <v>#REF!</v>
      </c>
      <c r="L10" s="300" t="e">
        <f>'Fluxo de Caixa 01'!#REF!*0.07+'Fluxo de Caixa 01'!#REF!</f>
        <v>#REF!</v>
      </c>
      <c r="M10" s="300" t="e">
        <f>'Fluxo de Caixa 01'!#REF!*0.07+'Fluxo de Caixa 01'!#REF!</f>
        <v>#REF!</v>
      </c>
      <c r="N10" s="300" t="e">
        <f>'Fluxo de Caixa 01'!#REF!*0.07+'Fluxo de Caixa 01'!#REF!</f>
        <v>#REF!</v>
      </c>
      <c r="O10" s="291"/>
      <c r="P10" s="289" t="e">
        <f t="shared" si="6"/>
        <v>#REF!</v>
      </c>
    </row>
    <row r="11" spans="1:18">
      <c r="A11" s="292" t="s">
        <v>366</v>
      </c>
      <c r="B11" s="292"/>
      <c r="C11" s="300" t="e">
        <f>'Fluxo de Caixa 01'!#REF!*0.07+'Fluxo de Caixa 01'!#REF!</f>
        <v>#REF!</v>
      </c>
      <c r="D11" s="300" t="e">
        <f>'Fluxo de Caixa 01'!#REF!*0.07+'Fluxo de Caixa 01'!#REF!</f>
        <v>#REF!</v>
      </c>
      <c r="E11" s="300" t="e">
        <f>'Fluxo de Caixa 01'!#REF!*0.07+'Fluxo de Caixa 01'!#REF!</f>
        <v>#REF!</v>
      </c>
      <c r="F11" s="300" t="e">
        <f>'Fluxo de Caixa 01'!#REF!*0.07+'Fluxo de Caixa 01'!#REF!</f>
        <v>#REF!</v>
      </c>
      <c r="G11" s="300" t="e">
        <f>'Fluxo de Caixa 01'!#REF!*0.07+'Fluxo de Caixa 01'!#REF!</f>
        <v>#REF!</v>
      </c>
      <c r="H11" s="300" t="e">
        <f>'Fluxo de Caixa 01'!#REF!*0.07+'Fluxo de Caixa 01'!#REF!</f>
        <v>#REF!</v>
      </c>
      <c r="I11" s="300" t="e">
        <f>'Fluxo de Caixa 01'!#REF!*0.07+'Fluxo de Caixa 01'!#REF!</f>
        <v>#REF!</v>
      </c>
      <c r="J11" s="300" t="e">
        <f>'Fluxo de Caixa 01'!#REF!*0.07+'Fluxo de Caixa 01'!#REF!</f>
        <v>#REF!</v>
      </c>
      <c r="K11" s="300" t="e">
        <f>'Fluxo de Caixa 01'!#REF!*0.07+'Fluxo de Caixa 01'!#REF!</f>
        <v>#REF!</v>
      </c>
      <c r="L11" s="300" t="e">
        <f>'Fluxo de Caixa 01'!#REF!*0.07+'Fluxo de Caixa 01'!#REF!</f>
        <v>#REF!</v>
      </c>
      <c r="M11" s="300" t="e">
        <f>'Fluxo de Caixa 01'!#REF!*0.07+'Fluxo de Caixa 01'!#REF!</f>
        <v>#REF!</v>
      </c>
      <c r="N11" s="300" t="e">
        <f>'Fluxo de Caixa 01'!#REF!*0.07+'Fluxo de Caixa 01'!#REF!</f>
        <v>#REF!</v>
      </c>
      <c r="O11" s="291"/>
      <c r="P11" s="289" t="e">
        <f t="shared" si="6"/>
        <v>#REF!</v>
      </c>
    </row>
    <row r="12" spans="1:18">
      <c r="A12" s="292" t="s">
        <v>367</v>
      </c>
      <c r="B12" s="292"/>
      <c r="C12" s="300" t="e">
        <f>'Fluxo de Caixa 01'!#REF!*0.07+'Fluxo de Caixa 01'!#REF!</f>
        <v>#REF!</v>
      </c>
      <c r="D12" s="300" t="e">
        <f>'Fluxo de Caixa 01'!#REF!*0.07+'Fluxo de Caixa 01'!#REF!</f>
        <v>#REF!</v>
      </c>
      <c r="E12" s="300" t="e">
        <f>'Fluxo de Caixa 01'!#REF!*0.07+'Fluxo de Caixa 01'!#REF!</f>
        <v>#REF!</v>
      </c>
      <c r="F12" s="300" t="e">
        <f>'Fluxo de Caixa 01'!#REF!*0.07+'Fluxo de Caixa 01'!#REF!</f>
        <v>#REF!</v>
      </c>
      <c r="G12" s="300" t="e">
        <f>'Fluxo de Caixa 01'!#REF!*0.07+'Fluxo de Caixa 01'!#REF!</f>
        <v>#REF!</v>
      </c>
      <c r="H12" s="300" t="e">
        <f>'Fluxo de Caixa 01'!#REF!*0.07+'Fluxo de Caixa 01'!#REF!</f>
        <v>#REF!</v>
      </c>
      <c r="I12" s="300" t="e">
        <f>'Fluxo de Caixa 01'!#REF!*0.07+'Fluxo de Caixa 01'!#REF!</f>
        <v>#REF!</v>
      </c>
      <c r="J12" s="300" t="e">
        <f>'Fluxo de Caixa 01'!#REF!*0.07+'Fluxo de Caixa 01'!#REF!</f>
        <v>#REF!</v>
      </c>
      <c r="K12" s="300" t="e">
        <f>'Fluxo de Caixa 01'!#REF!*0.07+'Fluxo de Caixa 01'!#REF!</f>
        <v>#REF!</v>
      </c>
      <c r="L12" s="300" t="e">
        <f>'Fluxo de Caixa 01'!#REF!*0.07+'Fluxo de Caixa 01'!#REF!</f>
        <v>#REF!</v>
      </c>
      <c r="M12" s="300" t="e">
        <f>'Fluxo de Caixa 01'!#REF!*0.07+'Fluxo de Caixa 01'!#REF!</f>
        <v>#REF!</v>
      </c>
      <c r="N12" s="300" t="e">
        <f>'Fluxo de Caixa 01'!#REF!*0.07+'Fluxo de Caixa 01'!#REF!</f>
        <v>#REF!</v>
      </c>
      <c r="O12" s="291"/>
      <c r="P12" s="289" t="e">
        <f t="shared" si="6"/>
        <v>#REF!</v>
      </c>
    </row>
    <row r="13" spans="1:18">
      <c r="A13" s="292" t="s">
        <v>407</v>
      </c>
      <c r="B13" s="292"/>
      <c r="C13" s="300">
        <v>2560</v>
      </c>
      <c r="D13" s="300">
        <v>2560</v>
      </c>
      <c r="E13" s="300">
        <v>2560</v>
      </c>
      <c r="F13" s="300">
        <v>2560</v>
      </c>
      <c r="G13" s="300">
        <v>2560</v>
      </c>
      <c r="H13" s="300">
        <v>2560</v>
      </c>
      <c r="I13" s="300">
        <v>2560</v>
      </c>
      <c r="J13" s="300">
        <v>2560</v>
      </c>
      <c r="K13" s="300">
        <v>2560</v>
      </c>
      <c r="L13" s="300">
        <v>2560</v>
      </c>
      <c r="M13" s="300">
        <v>2560</v>
      </c>
      <c r="N13" s="300">
        <v>2560</v>
      </c>
      <c r="O13" s="300">
        <v>1280</v>
      </c>
      <c r="P13" s="289">
        <f t="shared" si="6"/>
        <v>30720</v>
      </c>
    </row>
    <row r="14" spans="1:18">
      <c r="A14" s="292" t="s">
        <v>240</v>
      </c>
      <c r="B14" s="292"/>
      <c r="C14" s="300" t="e">
        <f>'Fluxo de Caixa 01'!#REF!*0.07+'Fluxo de Caixa 01'!#REF!</f>
        <v>#REF!</v>
      </c>
      <c r="D14" s="300" t="e">
        <f>'Fluxo de Caixa 01'!#REF!*0.07+'Fluxo de Caixa 01'!#REF!</f>
        <v>#REF!</v>
      </c>
      <c r="E14" s="300" t="e">
        <f>'Fluxo de Caixa 01'!#REF!*0.07+'Fluxo de Caixa 01'!#REF!</f>
        <v>#REF!</v>
      </c>
      <c r="F14" s="300" t="e">
        <f>'Fluxo de Caixa 01'!#REF!*0.07+'Fluxo de Caixa 01'!#REF!</f>
        <v>#REF!</v>
      </c>
      <c r="G14" s="300" t="e">
        <f>'Fluxo de Caixa 01'!#REF!*0.07+'Fluxo de Caixa 01'!#REF!</f>
        <v>#REF!</v>
      </c>
      <c r="H14" s="300" t="e">
        <f>'Fluxo de Caixa 01'!#REF!*0.07+'Fluxo de Caixa 01'!#REF!</f>
        <v>#REF!</v>
      </c>
      <c r="I14" s="300" t="e">
        <f>'Fluxo de Caixa 01'!#REF!*0.07+'Fluxo de Caixa 01'!#REF!</f>
        <v>#REF!</v>
      </c>
      <c r="J14" s="300" t="e">
        <f>'Fluxo de Caixa 01'!#REF!*0.07+'Fluxo de Caixa 01'!#REF!</f>
        <v>#REF!</v>
      </c>
      <c r="K14" s="300" t="e">
        <f>'Fluxo de Caixa 01'!#REF!*0.07+'Fluxo de Caixa 01'!#REF!</f>
        <v>#REF!</v>
      </c>
      <c r="L14" s="300" t="e">
        <f>'Fluxo de Caixa 01'!#REF!*0.07+'Fluxo de Caixa 01'!#REF!</f>
        <v>#REF!</v>
      </c>
      <c r="M14" s="300" t="e">
        <f>'Fluxo de Caixa 01'!#REF!*0.07+'Fluxo de Caixa 01'!#REF!</f>
        <v>#REF!</v>
      </c>
      <c r="N14" s="300" t="e">
        <f>'Fluxo de Caixa 01'!#REF!*0.07+'Fluxo de Caixa 01'!#REF!</f>
        <v>#REF!</v>
      </c>
      <c r="O14" s="291"/>
      <c r="P14" s="289" t="e">
        <f t="shared" si="6"/>
        <v>#REF!</v>
      </c>
    </row>
    <row r="15" spans="1:18" s="14" customFormat="1">
      <c r="A15" s="286" t="s">
        <v>46</v>
      </c>
      <c r="B15" s="286"/>
      <c r="C15" s="287">
        <f>SUM(C16:C19)</f>
        <v>75</v>
      </c>
      <c r="D15" s="287">
        <f t="shared" ref="D15:N15" si="8">SUM(D16:D19)</f>
        <v>75</v>
      </c>
      <c r="E15" s="287">
        <f t="shared" si="8"/>
        <v>75</v>
      </c>
      <c r="F15" s="287">
        <f t="shared" si="8"/>
        <v>75</v>
      </c>
      <c r="G15" s="287">
        <f t="shared" si="8"/>
        <v>75</v>
      </c>
      <c r="H15" s="287">
        <f t="shared" si="8"/>
        <v>75</v>
      </c>
      <c r="I15" s="287">
        <f t="shared" si="8"/>
        <v>75</v>
      </c>
      <c r="J15" s="287">
        <f t="shared" si="8"/>
        <v>75</v>
      </c>
      <c r="K15" s="287">
        <f t="shared" si="8"/>
        <v>75</v>
      </c>
      <c r="L15" s="287">
        <f t="shared" si="8"/>
        <v>75</v>
      </c>
      <c r="M15" s="287">
        <f t="shared" si="8"/>
        <v>75</v>
      </c>
      <c r="N15" s="287">
        <f t="shared" si="8"/>
        <v>75</v>
      </c>
      <c r="O15" s="288"/>
      <c r="P15" s="289">
        <f t="shared" si="6"/>
        <v>900</v>
      </c>
    </row>
    <row r="16" spans="1:18" s="14" customFormat="1">
      <c r="A16" s="292" t="s">
        <v>190</v>
      </c>
      <c r="B16" s="293"/>
      <c r="C16" s="294">
        <v>75</v>
      </c>
      <c r="D16" s="294">
        <v>75</v>
      </c>
      <c r="E16" s="294">
        <v>75</v>
      </c>
      <c r="F16" s="294">
        <v>75</v>
      </c>
      <c r="G16" s="294">
        <v>75</v>
      </c>
      <c r="H16" s="294">
        <v>75</v>
      </c>
      <c r="I16" s="294">
        <v>75</v>
      </c>
      <c r="J16" s="294">
        <v>75</v>
      </c>
      <c r="K16" s="294">
        <v>75</v>
      </c>
      <c r="L16" s="294">
        <v>75</v>
      </c>
      <c r="M16" s="294">
        <v>75</v>
      </c>
      <c r="N16" s="294">
        <v>75</v>
      </c>
      <c r="O16" s="291"/>
      <c r="P16" s="289">
        <f>SUM(C16:N16)</f>
        <v>900</v>
      </c>
    </row>
    <row r="17" spans="1:17">
      <c r="A17" s="292" t="s">
        <v>309</v>
      </c>
      <c r="B17" s="297">
        <v>0.7</v>
      </c>
      <c r="C17" s="294">
        <v>0</v>
      </c>
      <c r="D17" s="294">
        <v>0</v>
      </c>
      <c r="E17" s="294">
        <v>0</v>
      </c>
      <c r="F17" s="294">
        <v>0</v>
      </c>
      <c r="G17" s="294">
        <v>0</v>
      </c>
      <c r="H17" s="294">
        <v>0</v>
      </c>
      <c r="I17" s="294">
        <v>0</v>
      </c>
      <c r="J17" s="294">
        <v>0</v>
      </c>
      <c r="K17" s="294">
        <v>0</v>
      </c>
      <c r="L17" s="294">
        <v>0</v>
      </c>
      <c r="M17" s="294">
        <v>0</v>
      </c>
      <c r="N17" s="294">
        <v>0</v>
      </c>
      <c r="O17" s="294">
        <f>'Custo M.O'!W54*'Fluxo de caixa 03'!$B$17</f>
        <v>0</v>
      </c>
      <c r="P17" s="289">
        <f>SUM(C17:N17)</f>
        <v>0</v>
      </c>
    </row>
    <row r="18" spans="1:17">
      <c r="A18" s="292" t="s">
        <v>308</v>
      </c>
      <c r="B18" s="301">
        <v>0.3</v>
      </c>
      <c r="C18" s="294">
        <v>0</v>
      </c>
      <c r="D18" s="294">
        <v>0</v>
      </c>
      <c r="E18" s="294">
        <v>0</v>
      </c>
      <c r="F18" s="294">
        <v>0</v>
      </c>
      <c r="G18" s="294">
        <v>0</v>
      </c>
      <c r="H18" s="294">
        <v>0</v>
      </c>
      <c r="I18" s="294">
        <v>0</v>
      </c>
      <c r="J18" s="294">
        <v>0</v>
      </c>
      <c r="K18" s="294">
        <v>0</v>
      </c>
      <c r="L18" s="294">
        <v>0</v>
      </c>
      <c r="M18" s="294">
        <v>0</v>
      </c>
      <c r="N18" s="294">
        <v>0</v>
      </c>
      <c r="O18" s="291"/>
      <c r="P18" s="289">
        <f>SUM(C18:N18)</f>
        <v>0</v>
      </c>
    </row>
    <row r="19" spans="1:17">
      <c r="A19" s="291" t="s">
        <v>191</v>
      </c>
      <c r="B19" s="291"/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298">
        <v>0</v>
      </c>
      <c r="L19" s="298">
        <v>0</v>
      </c>
      <c r="M19" s="298">
        <v>0</v>
      </c>
      <c r="N19" s="298">
        <v>0</v>
      </c>
      <c r="O19" s="291"/>
      <c r="P19" s="289">
        <f>SUM(C19:N19)</f>
        <v>0</v>
      </c>
    </row>
    <row r="20" spans="1:17" s="14" customFormat="1">
      <c r="A20" s="286" t="s">
        <v>47</v>
      </c>
      <c r="B20" s="286"/>
      <c r="C20" s="287" t="e">
        <f t="shared" ref="C20:N20" si="9">C21+C24+C26+C28</f>
        <v>#REF!</v>
      </c>
      <c r="D20" s="287" t="e">
        <f t="shared" si="9"/>
        <v>#REF!</v>
      </c>
      <c r="E20" s="287" t="e">
        <f t="shared" si="9"/>
        <v>#REF!</v>
      </c>
      <c r="F20" s="287" t="e">
        <f t="shared" si="9"/>
        <v>#REF!</v>
      </c>
      <c r="G20" s="287" t="e">
        <f t="shared" si="9"/>
        <v>#REF!</v>
      </c>
      <c r="H20" s="287" t="e">
        <f t="shared" si="9"/>
        <v>#REF!</v>
      </c>
      <c r="I20" s="287" t="e">
        <f t="shared" si="9"/>
        <v>#REF!</v>
      </c>
      <c r="J20" s="287" t="e">
        <f t="shared" si="9"/>
        <v>#REF!</v>
      </c>
      <c r="K20" s="287" t="e">
        <f t="shared" si="9"/>
        <v>#REF!</v>
      </c>
      <c r="L20" s="287" t="e">
        <f t="shared" si="9"/>
        <v>#REF!</v>
      </c>
      <c r="M20" s="287" t="e">
        <f t="shared" si="9"/>
        <v>#REF!</v>
      </c>
      <c r="N20" s="287" t="e">
        <f t="shared" si="9"/>
        <v>#REF!</v>
      </c>
      <c r="O20" s="288"/>
      <c r="P20" s="289" t="e">
        <f t="shared" si="6"/>
        <v>#REF!</v>
      </c>
    </row>
    <row r="21" spans="1:17" s="14" customFormat="1">
      <c r="A21" s="286" t="s">
        <v>48</v>
      </c>
      <c r="B21" s="286"/>
      <c r="C21" s="287" t="e">
        <f t="shared" ref="C21:N21" si="10">SUM(C22:C23)</f>
        <v>#REF!</v>
      </c>
      <c r="D21" s="287" t="e">
        <f t="shared" si="10"/>
        <v>#REF!</v>
      </c>
      <c r="E21" s="287" t="e">
        <f t="shared" si="10"/>
        <v>#REF!</v>
      </c>
      <c r="F21" s="287" t="e">
        <f t="shared" si="10"/>
        <v>#REF!</v>
      </c>
      <c r="G21" s="287" t="e">
        <f t="shared" si="10"/>
        <v>#REF!</v>
      </c>
      <c r="H21" s="287" t="e">
        <f t="shared" si="10"/>
        <v>#REF!</v>
      </c>
      <c r="I21" s="287" t="e">
        <f t="shared" si="10"/>
        <v>#REF!</v>
      </c>
      <c r="J21" s="287" t="e">
        <f t="shared" si="10"/>
        <v>#REF!</v>
      </c>
      <c r="K21" s="287" t="e">
        <f t="shared" si="10"/>
        <v>#REF!</v>
      </c>
      <c r="L21" s="287" t="e">
        <f t="shared" si="10"/>
        <v>#REF!</v>
      </c>
      <c r="M21" s="287" t="e">
        <f t="shared" si="10"/>
        <v>#REF!</v>
      </c>
      <c r="N21" s="287" t="e">
        <f t="shared" si="10"/>
        <v>#REF!</v>
      </c>
      <c r="O21" s="288"/>
      <c r="P21" s="289" t="e">
        <f t="shared" si="6"/>
        <v>#REF!</v>
      </c>
    </row>
    <row r="22" spans="1:17">
      <c r="A22" s="292" t="s">
        <v>363</v>
      </c>
      <c r="B22" s="299" t="e">
        <f>Simples!E6</f>
        <v>#REF!</v>
      </c>
      <c r="C22" s="294" t="e">
        <f>C3*$B$22</f>
        <v>#REF!</v>
      </c>
      <c r="D22" s="294" t="e">
        <f t="shared" ref="D22:N22" si="11">D3*$B$22</f>
        <v>#REF!</v>
      </c>
      <c r="E22" s="294" t="e">
        <f t="shared" si="11"/>
        <v>#REF!</v>
      </c>
      <c r="F22" s="294" t="e">
        <f t="shared" si="11"/>
        <v>#REF!</v>
      </c>
      <c r="G22" s="294" t="e">
        <f t="shared" si="11"/>
        <v>#REF!</v>
      </c>
      <c r="H22" s="294" t="e">
        <f t="shared" si="11"/>
        <v>#REF!</v>
      </c>
      <c r="I22" s="294" t="e">
        <f t="shared" si="11"/>
        <v>#REF!</v>
      </c>
      <c r="J22" s="294" t="e">
        <f t="shared" si="11"/>
        <v>#REF!</v>
      </c>
      <c r="K22" s="294" t="e">
        <f t="shared" si="11"/>
        <v>#REF!</v>
      </c>
      <c r="L22" s="294" t="e">
        <f t="shared" si="11"/>
        <v>#REF!</v>
      </c>
      <c r="M22" s="294" t="e">
        <f t="shared" si="11"/>
        <v>#REF!</v>
      </c>
      <c r="N22" s="294" t="e">
        <f t="shared" si="11"/>
        <v>#REF!</v>
      </c>
      <c r="O22" s="291"/>
      <c r="P22" s="289" t="e">
        <f t="shared" si="6"/>
        <v>#REF!</v>
      </c>
    </row>
    <row r="23" spans="1:17">
      <c r="A23" s="292" t="s">
        <v>49</v>
      </c>
      <c r="B23" s="293">
        <v>0.01</v>
      </c>
      <c r="C23" s="294">
        <v>0</v>
      </c>
      <c r="D23" s="294">
        <v>0</v>
      </c>
      <c r="E23" s="294">
        <v>0</v>
      </c>
      <c r="F23" s="294">
        <v>0</v>
      </c>
      <c r="G23" s="294">
        <v>0</v>
      </c>
      <c r="H23" s="294">
        <v>0</v>
      </c>
      <c r="I23" s="294">
        <v>0</v>
      </c>
      <c r="J23" s="294">
        <v>0</v>
      </c>
      <c r="K23" s="294">
        <v>0</v>
      </c>
      <c r="L23" s="294">
        <v>0</v>
      </c>
      <c r="M23" s="294">
        <v>0</v>
      </c>
      <c r="N23" s="294">
        <v>0</v>
      </c>
      <c r="O23" s="294"/>
      <c r="P23" s="289">
        <f t="shared" si="6"/>
        <v>0</v>
      </c>
    </row>
    <row r="24" spans="1:17" s="14" customFormat="1">
      <c r="A24" s="286" t="s">
        <v>50</v>
      </c>
      <c r="B24" s="286"/>
      <c r="C24" s="287">
        <f>C25</f>
        <v>500</v>
      </c>
      <c r="D24" s="287">
        <f t="shared" ref="D24:N24" si="12">D25</f>
        <v>350</v>
      </c>
      <c r="E24" s="287">
        <f t="shared" si="12"/>
        <v>350</v>
      </c>
      <c r="F24" s="287">
        <f t="shared" si="12"/>
        <v>350</v>
      </c>
      <c r="G24" s="287">
        <f t="shared" si="12"/>
        <v>350</v>
      </c>
      <c r="H24" s="287">
        <f t="shared" si="12"/>
        <v>350</v>
      </c>
      <c r="I24" s="287">
        <f t="shared" si="12"/>
        <v>350</v>
      </c>
      <c r="J24" s="287">
        <f t="shared" si="12"/>
        <v>350</v>
      </c>
      <c r="K24" s="287">
        <f t="shared" si="12"/>
        <v>350</v>
      </c>
      <c r="L24" s="287">
        <f t="shared" si="12"/>
        <v>350</v>
      </c>
      <c r="M24" s="287">
        <f t="shared" si="12"/>
        <v>350</v>
      </c>
      <c r="N24" s="287">
        <f t="shared" si="12"/>
        <v>350</v>
      </c>
      <c r="O24" s="288"/>
      <c r="P24" s="289">
        <f t="shared" si="6"/>
        <v>4350</v>
      </c>
      <c r="Q24" s="25"/>
    </row>
    <row r="25" spans="1:17">
      <c r="A25" s="292" t="s">
        <v>306</v>
      </c>
      <c r="B25" s="292"/>
      <c r="C25" s="294">
        <v>500</v>
      </c>
      <c r="D25" s="294">
        <v>350</v>
      </c>
      <c r="E25" s="294">
        <v>350</v>
      </c>
      <c r="F25" s="294">
        <v>350</v>
      </c>
      <c r="G25" s="294">
        <v>350</v>
      </c>
      <c r="H25" s="294">
        <v>350</v>
      </c>
      <c r="I25" s="294">
        <v>350</v>
      </c>
      <c r="J25" s="294">
        <v>350</v>
      </c>
      <c r="K25" s="294">
        <v>350</v>
      </c>
      <c r="L25" s="294">
        <v>350</v>
      </c>
      <c r="M25" s="294">
        <v>350</v>
      </c>
      <c r="N25" s="294">
        <v>350</v>
      </c>
      <c r="O25" s="294">
        <v>350</v>
      </c>
      <c r="P25" s="289">
        <f>SUM(C25:N25)</f>
        <v>4350</v>
      </c>
    </row>
    <row r="26" spans="1:17" s="14" customFormat="1">
      <c r="A26" s="286" t="s">
        <v>51</v>
      </c>
      <c r="B26" s="286"/>
      <c r="C26" s="287" t="e">
        <f>C27</f>
        <v>#REF!</v>
      </c>
      <c r="D26" s="287" t="e">
        <f t="shared" ref="D26:N26" si="13">D27</f>
        <v>#REF!</v>
      </c>
      <c r="E26" s="287" t="e">
        <f t="shared" si="13"/>
        <v>#REF!</v>
      </c>
      <c r="F26" s="287" t="e">
        <f t="shared" si="13"/>
        <v>#REF!</v>
      </c>
      <c r="G26" s="287" t="e">
        <f t="shared" si="13"/>
        <v>#REF!</v>
      </c>
      <c r="H26" s="287" t="e">
        <f t="shared" si="13"/>
        <v>#REF!</v>
      </c>
      <c r="I26" s="287" t="e">
        <f t="shared" si="13"/>
        <v>#REF!</v>
      </c>
      <c r="J26" s="287" t="e">
        <f t="shared" si="13"/>
        <v>#REF!</v>
      </c>
      <c r="K26" s="287" t="e">
        <f t="shared" si="13"/>
        <v>#REF!</v>
      </c>
      <c r="L26" s="287" t="e">
        <f t="shared" si="13"/>
        <v>#REF!</v>
      </c>
      <c r="M26" s="287" t="e">
        <f t="shared" si="13"/>
        <v>#REF!</v>
      </c>
      <c r="N26" s="287" t="e">
        <f t="shared" si="13"/>
        <v>#REF!</v>
      </c>
      <c r="O26" s="288"/>
      <c r="P26" s="289" t="e">
        <f t="shared" si="6"/>
        <v>#REF!</v>
      </c>
    </row>
    <row r="27" spans="1:17">
      <c r="A27" s="292" t="s">
        <v>198</v>
      </c>
      <c r="B27" s="296">
        <v>0.5</v>
      </c>
      <c r="C27" s="294" t="e">
        <f>'Fluxo de Caixa 01'!#REF!*0.1+'Fluxo de Caixa 01'!#REF!</f>
        <v>#REF!</v>
      </c>
      <c r="D27" s="294" t="e">
        <f>'Fluxo de Caixa 01'!#REF!*0.1+'Fluxo de Caixa 01'!#REF!</f>
        <v>#REF!</v>
      </c>
      <c r="E27" s="294" t="e">
        <f>'Fluxo de Caixa 01'!#REF!*0.1+'Fluxo de Caixa 01'!#REF!</f>
        <v>#REF!</v>
      </c>
      <c r="F27" s="294" t="e">
        <f>'Fluxo de Caixa 01'!#REF!*0.1+'Fluxo de Caixa 01'!#REF!</f>
        <v>#REF!</v>
      </c>
      <c r="G27" s="294" t="e">
        <f>'Fluxo de Caixa 01'!#REF!*0.1+'Fluxo de Caixa 01'!#REF!</f>
        <v>#REF!</v>
      </c>
      <c r="H27" s="294" t="e">
        <f>'Fluxo de Caixa 01'!#REF!*0.1+'Fluxo de Caixa 01'!#REF!</f>
        <v>#REF!</v>
      </c>
      <c r="I27" s="294" t="e">
        <f>'Fluxo de Caixa 01'!#REF!*0.1+'Fluxo de Caixa 01'!#REF!</f>
        <v>#REF!</v>
      </c>
      <c r="J27" s="294" t="e">
        <f>'Fluxo de Caixa 01'!#REF!*0.1+'Fluxo de Caixa 01'!#REF!</f>
        <v>#REF!</v>
      </c>
      <c r="K27" s="294" t="e">
        <f>'Fluxo de Caixa 01'!#REF!*0.1+'Fluxo de Caixa 01'!#REF!</f>
        <v>#REF!</v>
      </c>
      <c r="L27" s="294" t="e">
        <f>'Fluxo de Caixa 01'!#REF!*0.1+'Fluxo de Caixa 01'!#REF!</f>
        <v>#REF!</v>
      </c>
      <c r="M27" s="294" t="e">
        <f>'Fluxo de Caixa 01'!#REF!*0.1+'Fluxo de Caixa 01'!#REF!</f>
        <v>#REF!</v>
      </c>
      <c r="N27" s="294" t="e">
        <f>'Fluxo de Caixa 01'!#REF!*0.1+'Fluxo de Caixa 01'!#REF!</f>
        <v>#REF!</v>
      </c>
      <c r="O27" s="291"/>
      <c r="P27" s="289" t="e">
        <f t="shared" si="6"/>
        <v>#REF!</v>
      </c>
    </row>
    <row r="28" spans="1:17" s="14" customFormat="1">
      <c r="A28" s="286" t="s">
        <v>52</v>
      </c>
      <c r="B28" s="286"/>
      <c r="C28" s="287" t="e">
        <f t="shared" ref="C28:N28" si="14">SUM(C29:C32)</f>
        <v>#REF!</v>
      </c>
      <c r="D28" s="287" t="e">
        <f t="shared" si="14"/>
        <v>#REF!</v>
      </c>
      <c r="E28" s="287" t="e">
        <f t="shared" si="14"/>
        <v>#REF!</v>
      </c>
      <c r="F28" s="287" t="e">
        <f t="shared" si="14"/>
        <v>#REF!</v>
      </c>
      <c r="G28" s="287" t="e">
        <f t="shared" si="14"/>
        <v>#REF!</v>
      </c>
      <c r="H28" s="287" t="e">
        <f t="shared" si="14"/>
        <v>#REF!</v>
      </c>
      <c r="I28" s="287" t="e">
        <f t="shared" si="14"/>
        <v>#REF!</v>
      </c>
      <c r="J28" s="287" t="e">
        <f t="shared" si="14"/>
        <v>#REF!</v>
      </c>
      <c r="K28" s="287" t="e">
        <f t="shared" si="14"/>
        <v>#REF!</v>
      </c>
      <c r="L28" s="287" t="e">
        <f t="shared" si="14"/>
        <v>#REF!</v>
      </c>
      <c r="M28" s="287" t="e">
        <f t="shared" si="14"/>
        <v>#REF!</v>
      </c>
      <c r="N28" s="287" t="e">
        <f t="shared" si="14"/>
        <v>#REF!</v>
      </c>
      <c r="O28" s="288"/>
      <c r="P28" s="289" t="e">
        <f t="shared" si="6"/>
        <v>#REF!</v>
      </c>
      <c r="Q28" s="25"/>
    </row>
    <row r="29" spans="1:17">
      <c r="A29" s="292" t="s">
        <v>369</v>
      </c>
      <c r="B29" s="292"/>
      <c r="C29" s="300" t="e">
        <f>'Fluxo de Caixa 01'!#REF!*0.07+'Fluxo de Caixa 01'!#REF!</f>
        <v>#REF!</v>
      </c>
      <c r="D29" s="300" t="e">
        <f>'Fluxo de Caixa 01'!#REF!*0.07+'Fluxo de Caixa 01'!#REF!</f>
        <v>#REF!</v>
      </c>
      <c r="E29" s="300" t="e">
        <f>'Fluxo de Caixa 01'!#REF!*0.07+'Fluxo de Caixa 01'!#REF!</f>
        <v>#REF!</v>
      </c>
      <c r="F29" s="300" t="e">
        <f>'Fluxo de Caixa 01'!#REF!*0.07+'Fluxo de Caixa 01'!#REF!</f>
        <v>#REF!</v>
      </c>
      <c r="G29" s="300" t="e">
        <f>'Fluxo de Caixa 01'!#REF!*0.07+'Fluxo de Caixa 01'!#REF!</f>
        <v>#REF!</v>
      </c>
      <c r="H29" s="300" t="e">
        <f>'Fluxo de Caixa 01'!#REF!*0.07+'Fluxo de Caixa 01'!#REF!</f>
        <v>#REF!</v>
      </c>
      <c r="I29" s="300" t="e">
        <f>'Fluxo de Caixa 01'!#REF!*0.07+'Fluxo de Caixa 01'!#REF!</f>
        <v>#REF!</v>
      </c>
      <c r="J29" s="300" t="e">
        <f>'Fluxo de Caixa 01'!#REF!*0.07+'Fluxo de Caixa 01'!#REF!</f>
        <v>#REF!</v>
      </c>
      <c r="K29" s="300" t="e">
        <f>'Fluxo de Caixa 01'!#REF!*0.07+'Fluxo de Caixa 01'!#REF!</f>
        <v>#REF!</v>
      </c>
      <c r="L29" s="300" t="e">
        <f>'Fluxo de Caixa 01'!#REF!*0.07+'Fluxo de Caixa 01'!#REF!</f>
        <v>#REF!</v>
      </c>
      <c r="M29" s="300" t="e">
        <f>'Fluxo de Caixa 01'!#REF!*0.07+'Fluxo de Caixa 01'!#REF!</f>
        <v>#REF!</v>
      </c>
      <c r="N29" s="300" t="e">
        <f>'Fluxo de Caixa 01'!#REF!*0.07+'Fluxo de Caixa 01'!#REF!</f>
        <v>#REF!</v>
      </c>
      <c r="O29" s="291"/>
      <c r="P29" s="289" t="e">
        <f>SUM(C29:N29)</f>
        <v>#REF!</v>
      </c>
    </row>
    <row r="30" spans="1:17">
      <c r="A30" s="292" t="s">
        <v>370</v>
      </c>
      <c r="B30" s="292"/>
      <c r="C30" s="300" t="e">
        <f>'Fluxo de Caixa 01'!#REF!*0.07+'Fluxo de Caixa 01'!#REF!</f>
        <v>#REF!</v>
      </c>
      <c r="D30" s="300" t="e">
        <f>'Fluxo de Caixa 01'!#REF!*0.07+'Fluxo de Caixa 01'!#REF!</f>
        <v>#REF!</v>
      </c>
      <c r="E30" s="300" t="e">
        <f>'Fluxo de Caixa 01'!#REF!*0.07+'Fluxo de Caixa 01'!#REF!</f>
        <v>#REF!</v>
      </c>
      <c r="F30" s="300" t="e">
        <f>'Fluxo de Caixa 01'!#REF!*0.07+'Fluxo de Caixa 01'!#REF!</f>
        <v>#REF!</v>
      </c>
      <c r="G30" s="300" t="e">
        <f>'Fluxo de Caixa 01'!#REF!*0.07+'Fluxo de Caixa 01'!#REF!</f>
        <v>#REF!</v>
      </c>
      <c r="H30" s="300" t="e">
        <f>'Fluxo de Caixa 01'!#REF!*0.07+'Fluxo de Caixa 01'!#REF!</f>
        <v>#REF!</v>
      </c>
      <c r="I30" s="300" t="e">
        <f>'Fluxo de Caixa 01'!#REF!*0.07+'Fluxo de Caixa 01'!#REF!</f>
        <v>#REF!</v>
      </c>
      <c r="J30" s="300" t="e">
        <f>'Fluxo de Caixa 01'!#REF!*0.07+'Fluxo de Caixa 01'!#REF!</f>
        <v>#REF!</v>
      </c>
      <c r="K30" s="300" t="e">
        <f>'Fluxo de Caixa 01'!#REF!*0.07+'Fluxo de Caixa 01'!#REF!</f>
        <v>#REF!</v>
      </c>
      <c r="L30" s="300" t="e">
        <f>'Fluxo de Caixa 01'!#REF!*0.07+'Fluxo de Caixa 01'!#REF!</f>
        <v>#REF!</v>
      </c>
      <c r="M30" s="300" t="e">
        <f>'Fluxo de Caixa 01'!#REF!*0.07+'Fluxo de Caixa 01'!#REF!</f>
        <v>#REF!</v>
      </c>
      <c r="N30" s="300" t="e">
        <f>'Fluxo de Caixa 01'!#REF!*0.07+'Fluxo de Caixa 01'!#REF!</f>
        <v>#REF!</v>
      </c>
      <c r="O30" s="291"/>
      <c r="P30" s="289" t="e">
        <f>SUM(C30:N30)</f>
        <v>#REF!</v>
      </c>
    </row>
    <row r="31" spans="1:17">
      <c r="A31" s="292" t="s">
        <v>371</v>
      </c>
      <c r="B31" s="292"/>
      <c r="C31" s="300">
        <f>'Fluxo de Caixa 01'!C16</f>
        <v>0</v>
      </c>
      <c r="D31" s="300">
        <f>'Fluxo de Caixa 01'!D16</f>
        <v>0</v>
      </c>
      <c r="E31" s="300">
        <f>'Fluxo de Caixa 01'!E16</f>
        <v>0</v>
      </c>
      <c r="F31" s="300">
        <f>'Fluxo de Caixa 01'!F16</f>
        <v>0</v>
      </c>
      <c r="G31" s="300">
        <f>'Fluxo de Caixa 01'!G16</f>
        <v>0</v>
      </c>
      <c r="H31" s="300">
        <f>'Fluxo de Caixa 01'!H16</f>
        <v>0</v>
      </c>
      <c r="I31" s="300">
        <v>0</v>
      </c>
      <c r="J31" s="300">
        <v>0</v>
      </c>
      <c r="K31" s="300">
        <f>'Fluxo de Caixa 01'!K16</f>
        <v>0</v>
      </c>
      <c r="L31" s="300">
        <f>'Fluxo de Caixa 01'!L16</f>
        <v>0</v>
      </c>
      <c r="M31" s="300">
        <f>'Fluxo de Caixa 01'!M16</f>
        <v>0</v>
      </c>
      <c r="N31" s="300">
        <f>'Fluxo de Caixa 01'!N16</f>
        <v>0</v>
      </c>
      <c r="O31" s="300">
        <f>'Fluxo de Caixa 01'!O16</f>
        <v>0</v>
      </c>
      <c r="P31" s="289">
        <f>SUM(C31:N31)</f>
        <v>0</v>
      </c>
    </row>
    <row r="32" spans="1:17">
      <c r="A32" s="292" t="s">
        <v>372</v>
      </c>
      <c r="B32" s="292"/>
      <c r="C32" s="300">
        <v>0</v>
      </c>
      <c r="D32" s="294">
        <v>0</v>
      </c>
      <c r="E32" s="294">
        <f>C32</f>
        <v>0</v>
      </c>
      <c r="F32" s="294">
        <v>0</v>
      </c>
      <c r="G32" s="294">
        <v>0</v>
      </c>
      <c r="H32" s="294">
        <v>0</v>
      </c>
      <c r="I32" s="294">
        <v>0</v>
      </c>
      <c r="J32" s="294">
        <v>0</v>
      </c>
      <c r="K32" s="294">
        <v>0</v>
      </c>
      <c r="L32" s="294">
        <v>0</v>
      </c>
      <c r="M32" s="294">
        <v>0</v>
      </c>
      <c r="N32" s="294">
        <v>0</v>
      </c>
      <c r="O32" s="291"/>
      <c r="P32" s="289">
        <f>SUM(C32:N32)</f>
        <v>0</v>
      </c>
    </row>
    <row r="33" spans="1:16" s="14" customFormat="1">
      <c r="A33" s="407" t="s">
        <v>53</v>
      </c>
      <c r="B33" s="407"/>
      <c r="C33" s="408" t="e">
        <f t="shared" ref="C33:N33" si="15">C3-C6+C2</f>
        <v>#REF!</v>
      </c>
      <c r="D33" s="408" t="e">
        <f t="shared" si="15"/>
        <v>#REF!</v>
      </c>
      <c r="E33" s="408" t="e">
        <f t="shared" si="15"/>
        <v>#REF!</v>
      </c>
      <c r="F33" s="408" t="e">
        <f t="shared" si="15"/>
        <v>#REF!</v>
      </c>
      <c r="G33" s="408" t="e">
        <f t="shared" si="15"/>
        <v>#REF!</v>
      </c>
      <c r="H33" s="408" t="e">
        <f t="shared" si="15"/>
        <v>#REF!</v>
      </c>
      <c r="I33" s="408" t="e">
        <f t="shared" si="15"/>
        <v>#REF!</v>
      </c>
      <c r="J33" s="408" t="e">
        <f t="shared" si="15"/>
        <v>#REF!</v>
      </c>
      <c r="K33" s="408" t="e">
        <f t="shared" si="15"/>
        <v>#REF!</v>
      </c>
      <c r="L33" s="408" t="e">
        <f t="shared" si="15"/>
        <v>#REF!</v>
      </c>
      <c r="M33" s="408" t="e">
        <f t="shared" si="15"/>
        <v>#REF!</v>
      </c>
      <c r="N33" s="408" t="e">
        <f t="shared" si="15"/>
        <v>#REF!</v>
      </c>
      <c r="O33" s="409"/>
      <c r="P33" s="410" t="e">
        <f>N33</f>
        <v>#REF!</v>
      </c>
    </row>
    <row r="34" spans="1:16" ht="10.5" customHeight="1">
      <c r="A34" s="17" t="s">
        <v>458</v>
      </c>
      <c r="B34" s="17"/>
      <c r="C34" s="18" t="e">
        <f>N33-C2</f>
        <v>#REF!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">
    <tabColor rgb="FF00B050"/>
  </sheetPr>
  <dimension ref="C1:P62"/>
  <sheetViews>
    <sheetView showGridLines="0" topLeftCell="I19" workbookViewId="0">
      <selection activeCell="J58" sqref="J58:K60"/>
    </sheetView>
  </sheetViews>
  <sheetFormatPr defaultColWidth="9.140625" defaultRowHeight="15"/>
  <cols>
    <col min="1" max="2" width="9.140625" style="1"/>
    <col min="3" max="3" width="34.28515625" style="1" customWidth="1"/>
    <col min="4" max="4" width="16.42578125" style="1" customWidth="1"/>
    <col min="5" max="5" width="27.7109375" style="1" customWidth="1"/>
    <col min="6" max="6" width="16" style="31" customWidth="1"/>
    <col min="7" max="7" width="9.140625" style="1"/>
    <col min="8" max="8" width="35" style="1" bestFit="1" customWidth="1"/>
    <col min="9" max="9" width="15.42578125" style="1" bestFit="1" customWidth="1"/>
    <col min="10" max="10" width="28.85546875" style="1" bestFit="1" customWidth="1"/>
    <col min="11" max="11" width="17.7109375" style="1" customWidth="1"/>
    <col min="12" max="12" width="9.140625" style="1"/>
    <col min="13" max="13" width="45.85546875" style="1" bestFit="1" customWidth="1"/>
    <col min="14" max="14" width="18.7109375" style="1" customWidth="1"/>
    <col min="15" max="15" width="28.85546875" style="1" bestFit="1" customWidth="1"/>
    <col min="16" max="16" width="18.42578125" style="1" customWidth="1"/>
    <col min="17" max="16384" width="9.140625" style="1"/>
  </cols>
  <sheetData>
    <row r="1" spans="3:16" ht="8.25" customHeight="1"/>
    <row r="2" spans="3:16" ht="22.5" customHeight="1">
      <c r="C2" s="128" t="s">
        <v>229</v>
      </c>
      <c r="F2" s="1"/>
      <c r="H2" s="128" t="s">
        <v>55</v>
      </c>
      <c r="M2" s="128" t="s">
        <v>56</v>
      </c>
    </row>
    <row r="3" spans="3:16" ht="14.25" customHeight="1">
      <c r="C3" s="522" t="s">
        <v>453</v>
      </c>
      <c r="D3" s="522"/>
      <c r="E3" s="522"/>
      <c r="F3" s="522"/>
      <c r="H3" s="522" t="s">
        <v>454</v>
      </c>
      <c r="I3" s="522"/>
      <c r="J3" s="522"/>
      <c r="K3" s="522"/>
      <c r="M3" s="522" t="s">
        <v>388</v>
      </c>
      <c r="N3" s="522"/>
      <c r="O3" s="522"/>
      <c r="P3" s="522"/>
    </row>
    <row r="4" spans="3:16">
      <c r="C4" s="516" t="s">
        <v>230</v>
      </c>
      <c r="D4" s="517"/>
      <c r="E4" s="517"/>
      <c r="F4" s="518"/>
      <c r="H4" s="516" t="s">
        <v>230</v>
      </c>
      <c r="I4" s="517"/>
      <c r="J4" s="517"/>
      <c r="K4" s="518"/>
      <c r="M4" s="516" t="s">
        <v>230</v>
      </c>
      <c r="N4" s="517"/>
      <c r="O4" s="517"/>
      <c r="P4" s="518"/>
    </row>
    <row r="5" spans="3:16">
      <c r="C5" s="519"/>
      <c r="D5" s="520"/>
      <c r="E5" s="520"/>
      <c r="F5" s="521"/>
      <c r="H5" s="519"/>
      <c r="I5" s="520"/>
      <c r="J5" s="520"/>
      <c r="K5" s="521"/>
      <c r="M5" s="519"/>
      <c r="N5" s="520"/>
      <c r="O5" s="520"/>
      <c r="P5" s="521"/>
    </row>
    <row r="6" spans="3:16">
      <c r="C6" s="523" t="s">
        <v>231</v>
      </c>
      <c r="D6" s="524"/>
      <c r="E6" s="523" t="s">
        <v>232</v>
      </c>
      <c r="F6" s="524"/>
      <c r="H6" s="523" t="s">
        <v>231</v>
      </c>
      <c r="I6" s="524"/>
      <c r="J6" s="523" t="s">
        <v>232</v>
      </c>
      <c r="K6" s="524"/>
      <c r="M6" s="523" t="s">
        <v>231</v>
      </c>
      <c r="N6" s="524"/>
      <c r="O6" s="523" t="s">
        <v>232</v>
      </c>
      <c r="P6" s="524"/>
    </row>
    <row r="7" spans="3:16">
      <c r="C7" s="129" t="s">
        <v>233</v>
      </c>
      <c r="D7" s="130">
        <f>SUM(D8:D12)</f>
        <v>0</v>
      </c>
      <c r="E7" s="129" t="s">
        <v>234</v>
      </c>
      <c r="F7" s="131">
        <f>SUM(F8:F22)</f>
        <v>0</v>
      </c>
      <c r="H7" s="129" t="s">
        <v>233</v>
      </c>
      <c r="I7" s="130" t="e">
        <f>SUM(I8:I11)</f>
        <v>#REF!</v>
      </c>
      <c r="J7" s="129" t="s">
        <v>234</v>
      </c>
      <c r="K7" s="131" t="e">
        <f>SUM(K8:K22)</f>
        <v>#REF!</v>
      </c>
      <c r="M7" s="129" t="s">
        <v>233</v>
      </c>
      <c r="N7" s="130" t="e">
        <f>SUM(N8:N12)</f>
        <v>#REF!</v>
      </c>
      <c r="O7" s="129" t="s">
        <v>234</v>
      </c>
      <c r="P7" s="131" t="e">
        <f>SUM(P8:P22)</f>
        <v>#REF!</v>
      </c>
    </row>
    <row r="8" spans="3:16">
      <c r="C8" s="124" t="s">
        <v>235</v>
      </c>
      <c r="D8" s="125">
        <f>'Investimento Inicial'!G8</f>
        <v>0</v>
      </c>
      <c r="E8" s="124" t="s">
        <v>236</v>
      </c>
      <c r="F8" s="127">
        <v>0</v>
      </c>
      <c r="H8" s="382" t="s">
        <v>440</v>
      </c>
      <c r="I8" s="383">
        <f>D8</f>
        <v>0</v>
      </c>
      <c r="J8" s="124" t="s">
        <v>236</v>
      </c>
      <c r="K8" s="127">
        <v>0</v>
      </c>
      <c r="M8" s="382" t="s">
        <v>440</v>
      </c>
      <c r="N8" s="383"/>
      <c r="O8" s="124" t="s">
        <v>236</v>
      </c>
      <c r="P8" s="127">
        <v>0</v>
      </c>
    </row>
    <row r="9" spans="3:16">
      <c r="C9" s="124" t="s">
        <v>237</v>
      </c>
      <c r="D9" s="127">
        <v>0</v>
      </c>
      <c r="E9" s="124" t="s">
        <v>197</v>
      </c>
      <c r="F9" s="127">
        <v>0</v>
      </c>
      <c r="H9" s="124" t="s">
        <v>441</v>
      </c>
      <c r="I9" s="245" t="e">
        <f>'Fluxo de Caixa 01'!#REF!</f>
        <v>#REF!</v>
      </c>
      <c r="J9" s="124" t="s">
        <v>197</v>
      </c>
      <c r="K9" s="127" t="e">
        <f>#REF!</f>
        <v>#REF!</v>
      </c>
      <c r="M9" s="124" t="s">
        <v>441</v>
      </c>
      <c r="N9" s="245" t="e">
        <f>'Fluxo de Caixa 01'!#REF!</f>
        <v>#REF!</v>
      </c>
      <c r="O9" s="124" t="s">
        <v>197</v>
      </c>
      <c r="P9" s="127" t="e">
        <f>'Razonete Ano2'!AD14</f>
        <v>#REF!</v>
      </c>
    </row>
    <row r="10" spans="3:16">
      <c r="C10" s="124" t="s">
        <v>238</v>
      </c>
      <c r="D10" s="127">
        <v>0</v>
      </c>
      <c r="E10" s="124" t="s">
        <v>54</v>
      </c>
      <c r="F10" s="127">
        <v>0</v>
      </c>
      <c r="H10" s="124" t="s">
        <v>417</v>
      </c>
      <c r="I10" s="127">
        <f>'Fluxo de Caixa 01'!P5</f>
        <v>0</v>
      </c>
      <c r="J10" s="124" t="s">
        <v>54</v>
      </c>
      <c r="K10" s="127">
        <f>'Fluxo de Caixa 01'!P13</f>
        <v>0</v>
      </c>
      <c r="M10" s="124" t="s">
        <v>417</v>
      </c>
      <c r="N10" s="127">
        <f>'Fluxo de Caixa 01'!U5</f>
        <v>0</v>
      </c>
      <c r="O10" s="124" t="s">
        <v>54</v>
      </c>
      <c r="P10" s="127">
        <v>0</v>
      </c>
    </row>
    <row r="11" spans="3:16">
      <c r="C11" s="124" t="s">
        <v>239</v>
      </c>
      <c r="D11" s="133">
        <v>0</v>
      </c>
      <c r="E11" s="124" t="s">
        <v>240</v>
      </c>
      <c r="F11" s="127">
        <v>0</v>
      </c>
      <c r="H11" s="124" t="s">
        <v>238</v>
      </c>
      <c r="I11" s="132">
        <v>-492.71</v>
      </c>
      <c r="J11" s="124" t="s">
        <v>240</v>
      </c>
      <c r="K11" s="127" t="e">
        <f>'Fluxo de Caixa 01'!#REF!</f>
        <v>#REF!</v>
      </c>
      <c r="M11" s="124" t="s">
        <v>238</v>
      </c>
      <c r="N11" s="132">
        <v>-504.56</v>
      </c>
      <c r="O11" s="124" t="s">
        <v>240</v>
      </c>
      <c r="P11" s="127">
        <v>0</v>
      </c>
    </row>
    <row r="12" spans="3:16">
      <c r="C12" s="126"/>
      <c r="D12" s="134"/>
      <c r="E12" s="124" t="s">
        <v>241</v>
      </c>
      <c r="F12" s="127">
        <v>0</v>
      </c>
      <c r="H12" s="143"/>
      <c r="I12" s="136"/>
      <c r="J12" s="124" t="s">
        <v>241</v>
      </c>
      <c r="K12" s="127" t="e">
        <f>'Fluxo de Caixa 01'!#REF!+'Fluxo de Caixa 01'!#REF!</f>
        <v>#REF!</v>
      </c>
      <c r="M12" s="126"/>
      <c r="N12" s="134"/>
      <c r="O12" s="124" t="s">
        <v>241</v>
      </c>
      <c r="P12" s="127">
        <v>0</v>
      </c>
    </row>
    <row r="13" spans="3:16">
      <c r="C13" s="126"/>
      <c r="D13" s="134"/>
      <c r="E13" s="124" t="s">
        <v>242</v>
      </c>
      <c r="F13" s="127">
        <v>0</v>
      </c>
      <c r="H13" s="126"/>
      <c r="I13" s="379"/>
      <c r="J13" s="124" t="s">
        <v>198</v>
      </c>
      <c r="K13" s="127" t="e">
        <f>'Fluxo de Caixa 01'!#REF!</f>
        <v>#REF!</v>
      </c>
      <c r="M13" s="126"/>
      <c r="N13" s="134"/>
      <c r="O13" s="124" t="s">
        <v>242</v>
      </c>
      <c r="P13" s="127">
        <v>0</v>
      </c>
    </row>
    <row r="14" spans="3:16">
      <c r="C14" s="126"/>
      <c r="D14" s="134"/>
      <c r="E14" s="124" t="s">
        <v>243</v>
      </c>
      <c r="F14" s="127">
        <v>0</v>
      </c>
      <c r="H14" s="126"/>
      <c r="I14" s="379"/>
      <c r="J14" s="124" t="s">
        <v>369</v>
      </c>
      <c r="K14" s="127" t="e">
        <f>'Fluxo de Caixa 01'!#REF!</f>
        <v>#REF!</v>
      </c>
      <c r="M14" s="126"/>
      <c r="N14" s="134"/>
      <c r="O14" s="124" t="s">
        <v>243</v>
      </c>
      <c r="P14" s="127">
        <v>0</v>
      </c>
    </row>
    <row r="15" spans="3:16">
      <c r="C15" s="126"/>
      <c r="D15" s="135"/>
      <c r="E15" s="124" t="s">
        <v>244</v>
      </c>
      <c r="F15" s="127">
        <v>0</v>
      </c>
      <c r="H15" s="126"/>
      <c r="I15" s="135"/>
      <c r="J15" s="124" t="s">
        <v>416</v>
      </c>
      <c r="K15" s="127" t="e">
        <f>'Fluxo de Caixa 01'!#REF!+'Fluxo de Caixa 01'!#REF!</f>
        <v>#REF!</v>
      </c>
      <c r="M15" s="126"/>
      <c r="N15" s="135"/>
      <c r="O15" s="124" t="s">
        <v>244</v>
      </c>
      <c r="P15" s="127">
        <v>0</v>
      </c>
    </row>
    <row r="16" spans="3:16">
      <c r="C16" s="126"/>
      <c r="D16" s="135"/>
      <c r="E16" s="124" t="s">
        <v>245</v>
      </c>
      <c r="F16" s="127">
        <v>0</v>
      </c>
      <c r="H16" s="126"/>
      <c r="I16" s="135"/>
      <c r="J16" s="124" t="s">
        <v>245</v>
      </c>
      <c r="K16" s="127" t="e">
        <f>'Fluxo de Caixa 01'!#REF!</f>
        <v>#REF!</v>
      </c>
      <c r="M16" s="126"/>
      <c r="N16" s="135"/>
      <c r="O16" s="124" t="s">
        <v>245</v>
      </c>
      <c r="P16" s="131">
        <v>0</v>
      </c>
    </row>
    <row r="17" spans="3:16">
      <c r="C17" s="126"/>
      <c r="D17" s="135"/>
      <c r="E17" s="124" t="s">
        <v>246</v>
      </c>
      <c r="F17" s="127">
        <v>0</v>
      </c>
      <c r="H17" s="126"/>
      <c r="I17" s="135"/>
      <c r="J17" s="124" t="s">
        <v>246</v>
      </c>
      <c r="K17" s="127" t="e">
        <f>'Fluxo de Caixa 01'!#REF!+'Fluxo de Caixa 01'!#REF!+'Fluxo de Caixa 01'!#REF!</f>
        <v>#REF!</v>
      </c>
      <c r="M17" s="126"/>
      <c r="N17" s="135"/>
      <c r="O17" s="124" t="s">
        <v>246</v>
      </c>
      <c r="P17" s="127">
        <v>0</v>
      </c>
    </row>
    <row r="18" spans="3:16">
      <c r="C18" s="126"/>
      <c r="D18" s="135"/>
      <c r="F18" s="136"/>
      <c r="H18" s="126"/>
      <c r="I18" s="135"/>
      <c r="K18" s="136"/>
      <c r="M18" s="126"/>
      <c r="N18" s="135"/>
      <c r="P18" s="136"/>
    </row>
    <row r="19" spans="3:16">
      <c r="C19" s="126"/>
      <c r="D19" s="135"/>
      <c r="F19" s="136"/>
      <c r="H19" s="126"/>
      <c r="I19" s="135"/>
      <c r="K19" s="136"/>
      <c r="M19" s="126"/>
      <c r="N19" s="135"/>
      <c r="P19" s="136"/>
    </row>
    <row r="20" spans="3:16">
      <c r="C20" s="126"/>
      <c r="D20" s="135"/>
      <c r="F20" s="136"/>
      <c r="H20" s="126"/>
      <c r="I20" s="135"/>
      <c r="K20" s="136"/>
      <c r="M20" s="126"/>
      <c r="N20" s="135"/>
      <c r="P20" s="136"/>
    </row>
    <row r="21" spans="3:16">
      <c r="C21" s="126"/>
      <c r="D21" s="135"/>
      <c r="F21" s="136"/>
      <c r="H21" s="380"/>
      <c r="I21" s="381"/>
      <c r="K21" s="136"/>
      <c r="M21" s="126"/>
      <c r="N21" s="135"/>
      <c r="P21" s="136"/>
    </row>
    <row r="22" spans="3:16">
      <c r="C22" s="129" t="s">
        <v>247</v>
      </c>
      <c r="D22" s="137" t="e">
        <f>D23</f>
        <v>#REF!</v>
      </c>
      <c r="E22" s="84"/>
      <c r="F22" s="138"/>
      <c r="H22" s="129" t="s">
        <v>247</v>
      </c>
      <c r="I22" s="137" t="e">
        <f>I23</f>
        <v>#REF!</v>
      </c>
      <c r="J22" s="126"/>
      <c r="K22" s="138"/>
      <c r="M22" s="129" t="s">
        <v>247</v>
      </c>
      <c r="N22" s="137" t="e">
        <f>N23</f>
        <v>#REF!</v>
      </c>
      <c r="O22" s="126"/>
      <c r="P22" s="138"/>
    </row>
    <row r="23" spans="3:16">
      <c r="C23" s="129" t="s">
        <v>248</v>
      </c>
      <c r="D23" s="137" t="e">
        <f>SUM(D24:D28)</f>
        <v>#REF!</v>
      </c>
      <c r="E23" s="267" t="s">
        <v>249</v>
      </c>
      <c r="F23" s="131">
        <f>F24</f>
        <v>0</v>
      </c>
      <c r="H23" s="129" t="s">
        <v>248</v>
      </c>
      <c r="I23" s="137" t="e">
        <f>SUM(I24:I29)</f>
        <v>#REF!</v>
      </c>
      <c r="J23" s="129" t="s">
        <v>249</v>
      </c>
      <c r="K23" s="131">
        <f>K24</f>
        <v>0</v>
      </c>
      <c r="M23" s="129" t="s">
        <v>248</v>
      </c>
      <c r="N23" s="137" t="e">
        <f>SUM(N24:N29)</f>
        <v>#REF!</v>
      </c>
      <c r="O23" s="129" t="s">
        <v>249</v>
      </c>
      <c r="P23" s="131" t="e">
        <f>P24</f>
        <v>#REF!</v>
      </c>
    </row>
    <row r="24" spans="3:16">
      <c r="C24" s="124" t="s">
        <v>250</v>
      </c>
      <c r="D24" s="133" t="e">
        <f>'Investimento Inicial'!#REF!</f>
        <v>#REF!</v>
      </c>
      <c r="E24" s="268" t="s">
        <v>251</v>
      </c>
      <c r="F24" s="127">
        <f>'Rozonete Inicial'!E8</f>
        <v>0</v>
      </c>
      <c r="H24" s="124" t="s">
        <v>250</v>
      </c>
      <c r="I24" s="133" t="e">
        <f>D24</f>
        <v>#REF!</v>
      </c>
      <c r="J24" s="124" t="s">
        <v>251</v>
      </c>
      <c r="K24" s="127">
        <v>0</v>
      </c>
      <c r="M24" s="124" t="s">
        <v>250</v>
      </c>
      <c r="N24" s="133" t="e">
        <f>#REF!</f>
        <v>#REF!</v>
      </c>
      <c r="O24" s="124" t="s">
        <v>251</v>
      </c>
      <c r="P24" s="127" t="e">
        <f>'Razonete Ano2'!O13</f>
        <v>#REF!</v>
      </c>
    </row>
    <row r="25" spans="3:16">
      <c r="C25" s="124" t="s">
        <v>252</v>
      </c>
      <c r="D25" s="133" t="e">
        <f>'Investimento Inicial'!#REF!</f>
        <v>#REF!</v>
      </c>
      <c r="E25" s="84"/>
      <c r="F25" s="138"/>
      <c r="H25" s="124" t="s">
        <v>252</v>
      </c>
      <c r="I25" s="133" t="e">
        <f>D25</f>
        <v>#REF!</v>
      </c>
      <c r="J25" s="126"/>
      <c r="K25" s="138"/>
      <c r="M25" s="124" t="s">
        <v>252</v>
      </c>
      <c r="N25" s="133" t="e">
        <f>#REF!</f>
        <v>#REF!</v>
      </c>
      <c r="O25" s="126"/>
      <c r="P25" s="138"/>
    </row>
    <row r="26" spans="3:16">
      <c r="C26" s="124" t="s">
        <v>96</v>
      </c>
      <c r="D26" s="133">
        <f>'Rozonete Inicial'!D4</f>
        <v>0</v>
      </c>
      <c r="E26" s="267" t="s">
        <v>254</v>
      </c>
      <c r="F26" s="131" t="e">
        <f>SUM(F27:F28)</f>
        <v>#REF!</v>
      </c>
      <c r="H26" s="124" t="s">
        <v>96</v>
      </c>
      <c r="I26" s="133">
        <f>D26</f>
        <v>0</v>
      </c>
      <c r="J26" s="129" t="s">
        <v>254</v>
      </c>
      <c r="K26" s="131" t="e">
        <f>SUM(K27:K28)</f>
        <v>#REF!</v>
      </c>
      <c r="M26" s="124" t="s">
        <v>96</v>
      </c>
      <c r="N26" s="133">
        <f>'Rozonete Inicial'!D4</f>
        <v>0</v>
      </c>
      <c r="O26" s="129" t="s">
        <v>254</v>
      </c>
      <c r="P26" s="131" t="e">
        <f>SUM(P27:P28)</f>
        <v>#REF!</v>
      </c>
    </row>
    <row r="27" spans="3:16">
      <c r="C27" s="124" t="s">
        <v>255</v>
      </c>
      <c r="D27" s="133">
        <v>0</v>
      </c>
      <c r="E27" s="268" t="s">
        <v>256</v>
      </c>
      <c r="F27" s="127" t="e">
        <f>'Rozonete Inicial'!E7</f>
        <v>#REF!</v>
      </c>
      <c r="H27" s="124" t="s">
        <v>255</v>
      </c>
      <c r="I27" s="139" t="e">
        <f>-#REF!</f>
        <v>#REF!</v>
      </c>
      <c r="J27" s="124" t="s">
        <v>256</v>
      </c>
      <c r="K27" s="127" t="e">
        <f>F27</f>
        <v>#REF!</v>
      </c>
      <c r="M27" s="124" t="s">
        <v>255</v>
      </c>
      <c r="N27" s="139" t="e">
        <f>'Razonete Ano2'!O23*-1</f>
        <v>#REF!</v>
      </c>
      <c r="O27" s="124" t="s">
        <v>256</v>
      </c>
      <c r="P27" s="127" t="e">
        <f>K27</f>
        <v>#REF!</v>
      </c>
    </row>
    <row r="28" spans="3:16">
      <c r="C28" s="124" t="s">
        <v>257</v>
      </c>
      <c r="D28" s="133">
        <v>0</v>
      </c>
      <c r="E28" s="268" t="s">
        <v>258</v>
      </c>
      <c r="F28" s="127">
        <v>0</v>
      </c>
      <c r="H28" s="264" t="s">
        <v>257</v>
      </c>
      <c r="I28" s="139" t="e">
        <f>-#REF!</f>
        <v>#REF!</v>
      </c>
      <c r="J28" s="124" t="s">
        <v>258</v>
      </c>
      <c r="K28" s="127" t="e">
        <f>#REF!</f>
        <v>#REF!</v>
      </c>
      <c r="M28" s="264" t="s">
        <v>257</v>
      </c>
      <c r="N28" s="139" t="e">
        <f>'Razonete Ano2'!T23*-1</f>
        <v>#REF!</v>
      </c>
      <c r="O28" s="124" t="s">
        <v>258</v>
      </c>
      <c r="P28" s="127" t="e">
        <f>'Razonete Ano2'!Y23</f>
        <v>#REF!</v>
      </c>
    </row>
    <row r="29" spans="3:16">
      <c r="C29" s="23" t="s">
        <v>384</v>
      </c>
      <c r="D29" s="124"/>
      <c r="E29" s="84"/>
      <c r="F29" s="138"/>
      <c r="H29" s="246" t="s">
        <v>384</v>
      </c>
      <c r="I29" s="266" t="e">
        <f>-#REF!</f>
        <v>#REF!</v>
      </c>
      <c r="J29" s="84"/>
      <c r="K29" s="138"/>
      <c r="M29" s="246" t="s">
        <v>384</v>
      </c>
      <c r="N29" s="266" t="e">
        <f>I29</f>
        <v>#REF!</v>
      </c>
      <c r="O29" s="84"/>
      <c r="P29" s="138"/>
    </row>
    <row r="30" spans="3:16">
      <c r="C30" s="129" t="s">
        <v>259</v>
      </c>
      <c r="D30" s="137" t="e">
        <f>SUM(D22,D7)</f>
        <v>#REF!</v>
      </c>
      <c r="E30" s="267" t="s">
        <v>260</v>
      </c>
      <c r="F30" s="131" t="e">
        <f>SUM(F26,F23,F7)</f>
        <v>#REF!</v>
      </c>
      <c r="H30" s="265" t="s">
        <v>259</v>
      </c>
      <c r="I30" s="137" t="e">
        <f>SUM(I22,I7)</f>
        <v>#REF!</v>
      </c>
      <c r="J30" s="129" t="s">
        <v>260</v>
      </c>
      <c r="K30" s="131" t="e">
        <f>SUM(K26,K23,K7)</f>
        <v>#REF!</v>
      </c>
      <c r="M30" s="265" t="s">
        <v>259</v>
      </c>
      <c r="N30" s="137" t="e">
        <f>SUM(N22,N7)</f>
        <v>#REF!</v>
      </c>
      <c r="O30" s="129" t="s">
        <v>260</v>
      </c>
      <c r="P30" s="131" t="e">
        <f>SUM(P26,P23,P7)</f>
        <v>#REF!</v>
      </c>
    </row>
    <row r="31" spans="3:16" ht="15.75" thickBot="1">
      <c r="K31" s="4"/>
    </row>
    <row r="32" spans="3:16" ht="15.75" thickBot="1">
      <c r="C32" s="269"/>
      <c r="K32" s="4"/>
    </row>
    <row r="33" spans="3:6" hidden="1">
      <c r="C33" s="508" t="s">
        <v>230</v>
      </c>
      <c r="D33" s="509"/>
      <c r="E33" s="509"/>
      <c r="F33" s="510"/>
    </row>
    <row r="34" spans="3:6" hidden="1">
      <c r="C34" s="511"/>
      <c r="D34" s="512"/>
      <c r="E34" s="512"/>
      <c r="F34" s="513"/>
    </row>
    <row r="35" spans="3:6" hidden="1">
      <c r="C35" s="514" t="s">
        <v>231</v>
      </c>
      <c r="D35" s="515"/>
      <c r="E35" s="514" t="s">
        <v>232</v>
      </c>
      <c r="F35" s="515"/>
    </row>
    <row r="36" spans="3:6" hidden="1">
      <c r="C36" s="140" t="s">
        <v>233</v>
      </c>
      <c r="D36" s="141">
        <f>SUM(D37:D41)</f>
        <v>2491344.8693374638</v>
      </c>
      <c r="E36" s="140" t="s">
        <v>234</v>
      </c>
      <c r="F36" s="142">
        <f>SUM(F37:F49)</f>
        <v>2204856.6244790852</v>
      </c>
    </row>
    <row r="37" spans="3:6" hidden="1">
      <c r="C37" s="143" t="s">
        <v>235</v>
      </c>
      <c r="D37" s="144"/>
      <c r="E37" s="143" t="s">
        <v>236</v>
      </c>
      <c r="F37" s="145">
        <f>SUM('[1]Fluxo Ano 02'!P10,'[1]Fluxo Ano 02'!P37)</f>
        <v>203264.04</v>
      </c>
    </row>
    <row r="38" spans="3:6" hidden="1">
      <c r="C38" s="143" t="s">
        <v>237</v>
      </c>
      <c r="D38" s="145">
        <f>[1]DRE!D3</f>
        <v>2544785.361938165</v>
      </c>
      <c r="E38" s="143" t="s">
        <v>197</v>
      </c>
      <c r="F38" s="145">
        <f>SUM('[1]Previsão de demanda'!K26:K37,'[1]Fluxo Ano 02'!P16)</f>
        <v>1222952.0296818733</v>
      </c>
    </row>
    <row r="39" spans="3:6" hidden="1">
      <c r="C39" s="143" t="s">
        <v>261</v>
      </c>
      <c r="D39" s="145">
        <f>[1]DRE!D9*-1</f>
        <v>-53440.492600701458</v>
      </c>
      <c r="E39" s="143" t="s">
        <v>262</v>
      </c>
      <c r="F39" s="145">
        <f>[1]DRE!D7</f>
        <v>99722.865970038707</v>
      </c>
    </row>
    <row r="40" spans="3:6" hidden="1">
      <c r="C40" s="143" t="s">
        <v>239</v>
      </c>
      <c r="D40" s="5">
        <f>'[1]Investimento Inicial'!I32</f>
        <v>0</v>
      </c>
      <c r="E40" s="143" t="s">
        <v>263</v>
      </c>
      <c r="F40" s="145">
        <f>[1]DRE!D28</f>
        <v>11650.696910870038</v>
      </c>
    </row>
    <row r="41" spans="3:6" hidden="1">
      <c r="C41" s="143"/>
      <c r="D41" s="5"/>
      <c r="E41" s="143" t="s">
        <v>264</v>
      </c>
      <c r="F41" s="145">
        <f>[1]DRE!D8</f>
        <v>62610.812052074951</v>
      </c>
    </row>
    <row r="42" spans="3:6" hidden="1">
      <c r="C42" s="143"/>
      <c r="D42" s="136"/>
      <c r="E42" s="143" t="s">
        <v>240</v>
      </c>
      <c r="F42" s="145">
        <f>'[1]Fluxo Ano 01'!P36</f>
        <v>134706.9718642277</v>
      </c>
    </row>
    <row r="43" spans="3:6" hidden="1">
      <c r="C43" s="143"/>
      <c r="D43" s="136"/>
      <c r="E43" s="143" t="s">
        <v>241</v>
      </c>
      <c r="F43" s="145">
        <f>'[1]Fluxo Ano 02'!P31</f>
        <v>3780</v>
      </c>
    </row>
    <row r="44" spans="3:6" hidden="1">
      <c r="C44" s="143"/>
      <c r="D44" s="136"/>
      <c r="E44" s="143" t="s">
        <v>242</v>
      </c>
      <c r="F44" s="145">
        <f>SUM('[1]Fluxo Ano 02'!P32,'[1]Fluxo Ano 02'!P33,'[1]Fluxo Ano 02'!P34,'[1]Fluxo Ano 02'!P24)</f>
        <v>165780</v>
      </c>
    </row>
    <row r="45" spans="3:6" hidden="1">
      <c r="C45" s="143"/>
      <c r="D45" s="136"/>
      <c r="E45" s="143" t="s">
        <v>243</v>
      </c>
      <c r="F45" s="145">
        <f>'[1]Fluxo Ano 02'!P26</f>
        <v>46608.408000000003</v>
      </c>
    </row>
    <row r="46" spans="3:6" hidden="1">
      <c r="C46" s="143"/>
      <c r="D46" s="136"/>
      <c r="E46" s="143" t="s">
        <v>244</v>
      </c>
      <c r="F46" s="145">
        <f>SUM('[1]Fluxo Ano 02'!P12,'[1]Fluxo Ano 02'!P38)</f>
        <v>32140.799999999996</v>
      </c>
    </row>
    <row r="47" spans="3:6" hidden="1">
      <c r="C47" s="143"/>
      <c r="D47" s="136"/>
      <c r="E47" s="143" t="s">
        <v>245</v>
      </c>
      <c r="F47" s="145">
        <f>'[1]Fluxo Ano 02'!P39</f>
        <v>216000</v>
      </c>
    </row>
    <row r="48" spans="3:6" hidden="1">
      <c r="C48" s="143"/>
      <c r="D48" s="136"/>
      <c r="E48" s="143" t="s">
        <v>246</v>
      </c>
      <c r="F48" s="145">
        <f>SUM('[1]Fluxo Ano 01'!P61,'[1]Fluxo Ano 01'!P47,'[1]Fluxo Ano 01'!P38)</f>
        <v>5640</v>
      </c>
    </row>
    <row r="49" spans="3:15" hidden="1">
      <c r="C49" s="140" t="s">
        <v>247</v>
      </c>
      <c r="D49" s="146">
        <f>D50</f>
        <v>204262.5</v>
      </c>
      <c r="E49" s="143"/>
      <c r="F49" s="145"/>
    </row>
    <row r="50" spans="3:15" hidden="1">
      <c r="C50" s="140" t="s">
        <v>248</v>
      </c>
      <c r="D50" s="146">
        <f>SUM(D51:D55)</f>
        <v>204262.5</v>
      </c>
      <c r="E50" s="140" t="s">
        <v>249</v>
      </c>
      <c r="F50" s="142">
        <f>F51</f>
        <v>134706.9718642277</v>
      </c>
    </row>
    <row r="51" spans="3:15" hidden="1">
      <c r="C51" s="143" t="s">
        <v>250</v>
      </c>
      <c r="D51" s="147">
        <f>SUM('[1]Investimento Inicial'!F14:F24)</f>
        <v>212330</v>
      </c>
      <c r="E51" s="143" t="s">
        <v>251</v>
      </c>
      <c r="F51" s="145">
        <f>'[1]Fluxo Ano 02'!P36</f>
        <v>134706.9718642277</v>
      </c>
    </row>
    <row r="52" spans="3:15" hidden="1">
      <c r="C52" s="143" t="s">
        <v>252</v>
      </c>
      <c r="D52" s="147">
        <f>SUM('[1]Investimento Inicial'!F25:F36)</f>
        <v>13801</v>
      </c>
      <c r="E52" s="143"/>
      <c r="F52" s="145"/>
    </row>
    <row r="53" spans="3:15" hidden="1">
      <c r="C53" s="143" t="s">
        <v>253</v>
      </c>
      <c r="D53" s="147">
        <f>'[1]Investimento Inicial'!F32</f>
        <v>528</v>
      </c>
      <c r="E53" s="140" t="s">
        <v>254</v>
      </c>
      <c r="F53" s="142" t="e">
        <f>SUM(F54:F55)</f>
        <v>#REF!</v>
      </c>
    </row>
    <row r="54" spans="3:15" hidden="1">
      <c r="C54" s="143" t="s">
        <v>265</v>
      </c>
      <c r="D54" s="147">
        <f>SUM('[1]Investimento Inicial'!F14:F24)*0.1*-1</f>
        <v>-21233</v>
      </c>
      <c r="E54" s="143" t="s">
        <v>256</v>
      </c>
      <c r="F54" s="145" t="e">
        <f>F27</f>
        <v>#REF!</v>
      </c>
    </row>
    <row r="55" spans="3:15" hidden="1">
      <c r="C55" s="143" t="s">
        <v>266</v>
      </c>
      <c r="D55" s="147">
        <f>SUM('[1]Investimento Inicial'!F25:F31)*0.1*-1</f>
        <v>-1163.5</v>
      </c>
      <c r="E55" s="143" t="s">
        <v>258</v>
      </c>
      <c r="F55" s="145">
        <f>[1]DRE!D32</f>
        <v>156493.31159292103</v>
      </c>
    </row>
    <row r="56" spans="3:15" hidden="1">
      <c r="C56" s="143"/>
      <c r="D56" s="136"/>
      <c r="F56" s="145"/>
    </row>
    <row r="57" spans="3:15" hidden="1">
      <c r="C57" s="148" t="s">
        <v>259</v>
      </c>
      <c r="D57" s="149">
        <f>SUM(D49,D36)</f>
        <v>2695607.3693374638</v>
      </c>
      <c r="E57" s="148" t="s">
        <v>260</v>
      </c>
      <c r="F57" s="150" t="e">
        <f>SUM(F53,F50,F36)</f>
        <v>#REF!</v>
      </c>
    </row>
    <row r="58" spans="3:15">
      <c r="E58" s="5"/>
      <c r="I58" s="4"/>
      <c r="J58" s="4" t="e">
        <f>I30-K30</f>
        <v>#REF!</v>
      </c>
      <c r="K58" s="4"/>
      <c r="O58" s="4" t="e">
        <f>P30-N30</f>
        <v>#REF!</v>
      </c>
    </row>
    <row r="59" spans="3:15">
      <c r="E59" s="4"/>
      <c r="J59" s="5"/>
      <c r="K59" s="4"/>
    </row>
    <row r="60" spans="3:15">
      <c r="K60" s="4">
        <v>492.71</v>
      </c>
    </row>
    <row r="61" spans="3:15">
      <c r="E61" s="5"/>
      <c r="K61" s="4">
        <v>504.56</v>
      </c>
    </row>
    <row r="62" spans="3:15">
      <c r="K62" s="4">
        <f>K60-K61</f>
        <v>-11.850000000000023</v>
      </c>
    </row>
  </sheetData>
  <mergeCells count="15">
    <mergeCell ref="C3:F3"/>
    <mergeCell ref="M4:P5"/>
    <mergeCell ref="C6:D6"/>
    <mergeCell ref="E6:F6"/>
    <mergeCell ref="H6:I6"/>
    <mergeCell ref="J6:K6"/>
    <mergeCell ref="M6:N6"/>
    <mergeCell ref="O6:P6"/>
    <mergeCell ref="H3:K3"/>
    <mergeCell ref="M3:P3"/>
    <mergeCell ref="C33:F34"/>
    <mergeCell ref="C35:D35"/>
    <mergeCell ref="E35:F35"/>
    <mergeCell ref="C4:F5"/>
    <mergeCell ref="H4:K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>
    <tabColor rgb="FF00B0F0"/>
  </sheetPr>
  <dimension ref="A1:S43"/>
  <sheetViews>
    <sheetView workbookViewId="0">
      <selection activeCell="B5" sqref="B5"/>
    </sheetView>
  </sheetViews>
  <sheetFormatPr defaultRowHeight="15"/>
  <cols>
    <col min="2" max="2" width="15.42578125" customWidth="1"/>
    <col min="3" max="3" width="13.85546875" customWidth="1"/>
    <col min="4" max="4" width="5.5703125" style="28" customWidth="1"/>
    <col min="5" max="5" width="15.5703125" customWidth="1"/>
    <col min="6" max="6" width="16.140625" customWidth="1"/>
    <col min="9" max="9" width="13.7109375" customWidth="1"/>
    <col min="10" max="10" width="13.42578125" customWidth="1"/>
    <col min="12" max="12" width="15.85546875" customWidth="1"/>
    <col min="13" max="13" width="13.7109375" customWidth="1"/>
    <col min="17" max="17" width="22.42578125" bestFit="1" customWidth="1"/>
    <col min="18" max="18" width="13.28515625" style="21" bestFit="1" customWidth="1"/>
  </cols>
  <sheetData>
    <row r="1" spans="1:19">
      <c r="B1" s="487" t="s">
        <v>420</v>
      </c>
      <c r="C1" s="487"/>
      <c r="E1" s="487" t="s">
        <v>421</v>
      </c>
      <c r="F1" s="487"/>
      <c r="I1" t="s">
        <v>422</v>
      </c>
      <c r="P1">
        <v>1</v>
      </c>
      <c r="Q1" t="s">
        <v>267</v>
      </c>
      <c r="R1" s="21">
        <v>70000</v>
      </c>
    </row>
    <row r="2" spans="1:19">
      <c r="B2" s="525" t="s">
        <v>235</v>
      </c>
      <c r="C2" s="525"/>
      <c r="E2" s="525" t="s">
        <v>256</v>
      </c>
      <c r="F2" s="525"/>
      <c r="I2" s="525" t="s">
        <v>439</v>
      </c>
      <c r="J2" s="525"/>
      <c r="L2" s="525" t="s">
        <v>429</v>
      </c>
      <c r="M2" s="525"/>
      <c r="P2">
        <v>2</v>
      </c>
      <c r="Q2" t="s">
        <v>423</v>
      </c>
      <c r="R2" s="21">
        <v>8562</v>
      </c>
    </row>
    <row r="3" spans="1:19">
      <c r="A3">
        <v>1</v>
      </c>
      <c r="B3" s="375">
        <v>70000</v>
      </c>
      <c r="C3" s="371">
        <f>B16</f>
        <v>8562</v>
      </c>
      <c r="D3" s="28">
        <v>2</v>
      </c>
      <c r="E3" s="168"/>
      <c r="F3" s="376">
        <v>70000</v>
      </c>
      <c r="G3" s="151">
        <v>1</v>
      </c>
      <c r="H3">
        <v>5</v>
      </c>
      <c r="I3" s="168">
        <v>51907.64</v>
      </c>
      <c r="J3" s="369"/>
      <c r="K3">
        <v>6</v>
      </c>
      <c r="L3" s="370">
        <f>R7</f>
        <v>121117.82</v>
      </c>
      <c r="M3" s="369"/>
      <c r="P3">
        <v>3</v>
      </c>
      <c r="Q3" t="s">
        <v>252</v>
      </c>
      <c r="R3" s="21">
        <v>3905</v>
      </c>
    </row>
    <row r="4" spans="1:19">
      <c r="A4">
        <v>5</v>
      </c>
      <c r="B4" s="55">
        <v>51907.64</v>
      </c>
      <c r="C4" s="372">
        <f>B23</f>
        <v>3905</v>
      </c>
      <c r="D4" s="28">
        <v>3</v>
      </c>
      <c r="F4" s="152"/>
      <c r="J4" s="152"/>
      <c r="M4" s="152"/>
      <c r="P4">
        <v>4</v>
      </c>
      <c r="Q4" t="s">
        <v>225</v>
      </c>
      <c r="R4" s="21">
        <f>S4*10%</f>
        <v>1246.7</v>
      </c>
      <c r="S4">
        <f>R2+R3</f>
        <v>12467</v>
      </c>
    </row>
    <row r="5" spans="1:19">
      <c r="A5">
        <v>6</v>
      </c>
      <c r="B5" s="55">
        <f>L3</f>
        <v>121117.82</v>
      </c>
      <c r="C5" s="377">
        <f>F16</f>
        <v>48240</v>
      </c>
      <c r="D5" s="28">
        <v>7</v>
      </c>
      <c r="F5" s="152"/>
      <c r="J5" s="152"/>
      <c r="M5" s="152"/>
      <c r="Q5" t="s">
        <v>424</v>
      </c>
      <c r="R5" s="21">
        <f>SUM(R6:R7)</f>
        <v>173025.46000000002</v>
      </c>
    </row>
    <row r="6" spans="1:19">
      <c r="C6" s="377">
        <f>F25</f>
        <v>600</v>
      </c>
      <c r="D6" s="28">
        <v>8</v>
      </c>
      <c r="F6" s="152"/>
      <c r="J6" s="152"/>
      <c r="M6" s="152"/>
      <c r="P6">
        <v>5</v>
      </c>
      <c r="Q6" t="s">
        <v>427</v>
      </c>
      <c r="R6" s="21">
        <v>51907.64</v>
      </c>
    </row>
    <row r="7" spans="1:19">
      <c r="C7" s="377">
        <f>F33</f>
        <v>29572.29</v>
      </c>
      <c r="D7" s="28">
        <v>9</v>
      </c>
      <c r="F7" s="152"/>
      <c r="J7" s="152"/>
      <c r="M7" s="152"/>
      <c r="P7">
        <v>6</v>
      </c>
      <c r="Q7" t="s">
        <v>428</v>
      </c>
      <c r="R7" s="21">
        <v>121117.82</v>
      </c>
    </row>
    <row r="8" spans="1:19">
      <c r="C8" s="152"/>
      <c r="F8" s="152"/>
      <c r="J8" s="152"/>
      <c r="M8" s="152"/>
      <c r="P8">
        <v>7</v>
      </c>
      <c r="Q8" t="s">
        <v>45</v>
      </c>
      <c r="R8" s="21">
        <v>48240</v>
      </c>
    </row>
    <row r="13" spans="1:19">
      <c r="B13" s="7">
        <f>SUM(B3:B8)-SUM(C3:C8)</f>
        <v>152146.17000000001</v>
      </c>
      <c r="P13">
        <v>8</v>
      </c>
      <c r="Q13" t="s">
        <v>425</v>
      </c>
      <c r="R13" s="21">
        <v>600</v>
      </c>
    </row>
    <row r="14" spans="1:19">
      <c r="P14">
        <v>9</v>
      </c>
      <c r="Q14" t="s">
        <v>426</v>
      </c>
      <c r="R14" s="21">
        <v>29572.29</v>
      </c>
    </row>
    <row r="15" spans="1:19">
      <c r="B15" s="525" t="s">
        <v>250</v>
      </c>
      <c r="C15" s="525"/>
      <c r="E15" s="525" t="s">
        <v>45</v>
      </c>
      <c r="F15" s="525"/>
      <c r="G15" s="28"/>
      <c r="I15" s="525" t="s">
        <v>438</v>
      </c>
      <c r="J15" s="525"/>
    </row>
    <row r="16" spans="1:19">
      <c r="A16">
        <v>2</v>
      </c>
      <c r="B16" s="370">
        <f>R2</f>
        <v>8562</v>
      </c>
      <c r="C16" s="369"/>
      <c r="E16" s="168"/>
      <c r="F16" s="376">
        <v>48240</v>
      </c>
      <c r="G16">
        <v>7</v>
      </c>
      <c r="H16">
        <v>10</v>
      </c>
      <c r="I16" s="378">
        <v>0</v>
      </c>
      <c r="J16" s="369"/>
    </row>
    <row r="17" spans="1:10">
      <c r="C17" s="152"/>
      <c r="F17" s="152"/>
      <c r="J17" s="152"/>
    </row>
    <row r="18" spans="1:10">
      <c r="C18" s="152"/>
      <c r="F18" s="152"/>
      <c r="J18" s="152"/>
    </row>
    <row r="19" spans="1:10">
      <c r="C19" s="152"/>
      <c r="F19" s="152"/>
      <c r="J19" s="152"/>
    </row>
    <row r="20" spans="1:10">
      <c r="C20" s="152"/>
      <c r="F20" s="152"/>
      <c r="J20" s="152"/>
    </row>
    <row r="21" spans="1:10">
      <c r="F21" s="152"/>
      <c r="J21" s="152"/>
    </row>
    <row r="22" spans="1:10">
      <c r="B22" s="525" t="s">
        <v>252</v>
      </c>
      <c r="C22" s="525"/>
      <c r="F22" s="487"/>
      <c r="G22" s="487"/>
    </row>
    <row r="23" spans="1:10">
      <c r="A23">
        <v>3</v>
      </c>
      <c r="B23" s="370">
        <f>R3</f>
        <v>3905</v>
      </c>
      <c r="C23" s="369"/>
      <c r="F23" s="7"/>
    </row>
    <row r="24" spans="1:10">
      <c r="C24" s="152"/>
      <c r="E24" s="525" t="s">
        <v>425</v>
      </c>
      <c r="F24" s="525"/>
    </row>
    <row r="25" spans="1:10">
      <c r="C25" s="152"/>
      <c r="E25" s="168"/>
      <c r="F25" s="376">
        <v>600</v>
      </c>
      <c r="G25">
        <v>8</v>
      </c>
    </row>
    <row r="26" spans="1:10">
      <c r="C26" s="152"/>
      <c r="F26" s="152"/>
    </row>
    <row r="27" spans="1:10">
      <c r="C27" s="152"/>
      <c r="F27" s="152"/>
    </row>
    <row r="28" spans="1:10">
      <c r="F28" s="152"/>
    </row>
    <row r="29" spans="1:10">
      <c r="F29" s="152"/>
    </row>
    <row r="30" spans="1:10">
      <c r="F30" s="152"/>
    </row>
    <row r="31" spans="1:10">
      <c r="B31" s="525" t="s">
        <v>225</v>
      </c>
      <c r="C31" s="525"/>
    </row>
    <row r="32" spans="1:10">
      <c r="A32">
        <v>4</v>
      </c>
      <c r="B32" s="370">
        <f>R4</f>
        <v>1246.7</v>
      </c>
      <c r="C32" s="369"/>
      <c r="E32" s="525" t="s">
        <v>426</v>
      </c>
      <c r="F32" s="525"/>
    </row>
    <row r="33" spans="3:10">
      <c r="C33" s="152"/>
      <c r="E33" s="168"/>
      <c r="F33" s="376">
        <v>29572.29</v>
      </c>
      <c r="G33">
        <v>9</v>
      </c>
    </row>
    <row r="34" spans="3:10">
      <c r="C34" s="152"/>
      <c r="F34" s="152"/>
    </row>
    <row r="35" spans="3:10">
      <c r="C35" s="152"/>
      <c r="F35" s="152"/>
    </row>
    <row r="36" spans="3:10">
      <c r="C36" s="152"/>
      <c r="F36" s="152"/>
    </row>
    <row r="37" spans="3:10">
      <c r="F37" s="152"/>
    </row>
    <row r="38" spans="3:10">
      <c r="F38" s="152"/>
    </row>
    <row r="43" spans="3:10">
      <c r="J43" s="7"/>
    </row>
  </sheetData>
  <mergeCells count="14">
    <mergeCell ref="L2:M2"/>
    <mergeCell ref="I2:J2"/>
    <mergeCell ref="I15:J15"/>
    <mergeCell ref="B31:C31"/>
    <mergeCell ref="F22:G22"/>
    <mergeCell ref="E15:F15"/>
    <mergeCell ref="E24:F24"/>
    <mergeCell ref="E32:F32"/>
    <mergeCell ref="B2:C2"/>
    <mergeCell ref="E2:F2"/>
    <mergeCell ref="B1:C1"/>
    <mergeCell ref="E1:F1"/>
    <mergeCell ref="B15:C15"/>
    <mergeCell ref="B22:C2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7"/>
  <dimension ref="A1:G34"/>
  <sheetViews>
    <sheetView workbookViewId="0">
      <selection activeCell="C13" sqref="C13"/>
    </sheetView>
  </sheetViews>
  <sheetFormatPr defaultRowHeight="15"/>
  <cols>
    <col min="1" max="1" width="35.85546875" bestFit="1" customWidth="1"/>
    <col min="2" max="2" width="13.42578125" style="21" bestFit="1" customWidth="1"/>
    <col min="3" max="3" width="13.28515625" style="21" bestFit="1" customWidth="1"/>
  </cols>
  <sheetData>
    <row r="1" spans="1:7">
      <c r="A1" s="374" t="s">
        <v>430</v>
      </c>
      <c r="E1" s="526" t="s">
        <v>434</v>
      </c>
      <c r="F1" s="526"/>
      <c r="G1" s="526"/>
    </row>
    <row r="2" spans="1:7">
      <c r="A2" s="373"/>
      <c r="E2" s="171" t="s">
        <v>431</v>
      </c>
      <c r="F2" s="171" t="s">
        <v>432</v>
      </c>
      <c r="G2" s="165" t="s">
        <v>433</v>
      </c>
    </row>
    <row r="3" spans="1:7">
      <c r="A3" t="s">
        <v>235</v>
      </c>
      <c r="B3" s="21">
        <f>'Fluxo de Caixa 01'!N18</f>
        <v>0</v>
      </c>
      <c r="C3" s="21" t="s">
        <v>418</v>
      </c>
    </row>
    <row r="4" spans="1:7">
      <c r="A4" t="s">
        <v>435</v>
      </c>
      <c r="B4" s="21" t="e">
        <f>'Investimento Inicial'!#REF!</f>
        <v>#REF!</v>
      </c>
      <c r="C4" s="21" t="s">
        <v>419</v>
      </c>
    </row>
    <row r="5" spans="1:7">
      <c r="A5" t="s">
        <v>237</v>
      </c>
    </row>
    <row r="6" spans="1:7">
      <c r="A6" t="s">
        <v>436</v>
      </c>
    </row>
    <row r="7" spans="1:7">
      <c r="A7" t="s">
        <v>250</v>
      </c>
      <c r="B7" s="21" t="e">
        <f>'Investimento Inicial'!#REF!</f>
        <v>#REF!</v>
      </c>
      <c r="C7" s="21" t="s">
        <v>418</v>
      </c>
    </row>
    <row r="8" spans="1:7">
      <c r="A8" t="s">
        <v>252</v>
      </c>
      <c r="B8" s="21" t="e">
        <f>'Investimento Inicial'!#REF!</f>
        <v>#REF!</v>
      </c>
      <c r="C8" s="21" t="s">
        <v>418</v>
      </c>
    </row>
    <row r="9" spans="1:7">
      <c r="A9" s="165" t="s">
        <v>45</v>
      </c>
    </row>
    <row r="10" spans="1:7">
      <c r="A10" s="199" t="s">
        <v>365</v>
      </c>
    </row>
    <row r="11" spans="1:7">
      <c r="A11" s="199" t="s">
        <v>244</v>
      </c>
    </row>
    <row r="12" spans="1:7">
      <c r="A12" s="199" t="s">
        <v>366</v>
      </c>
    </row>
    <row r="13" spans="1:7">
      <c r="A13" s="199" t="s">
        <v>367</v>
      </c>
    </row>
    <row r="14" spans="1:7">
      <c r="A14" s="199" t="s">
        <v>409</v>
      </c>
    </row>
    <row r="15" spans="1:7">
      <c r="A15" s="199" t="s">
        <v>240</v>
      </c>
    </row>
    <row r="16" spans="1:7">
      <c r="A16" s="165" t="s">
        <v>46</v>
      </c>
    </row>
    <row r="17" spans="1:1">
      <c r="A17" t="s">
        <v>190</v>
      </c>
    </row>
    <row r="18" spans="1:1">
      <c r="A18" t="s">
        <v>307</v>
      </c>
    </row>
    <row r="19" spans="1:1">
      <c r="A19" t="s">
        <v>308</v>
      </c>
    </row>
    <row r="20" spans="1:1">
      <c r="A20" t="s">
        <v>310</v>
      </c>
    </row>
    <row r="21" spans="1:1">
      <c r="A21" s="165" t="s">
        <v>47</v>
      </c>
    </row>
    <row r="22" spans="1:1">
      <c r="A22" s="165" t="s">
        <v>48</v>
      </c>
    </row>
    <row r="23" spans="1:1">
      <c r="A23" t="s">
        <v>363</v>
      </c>
    </row>
    <row r="24" spans="1:1">
      <c r="A24" t="s">
        <v>49</v>
      </c>
    </row>
    <row r="25" spans="1:1">
      <c r="A25" s="165" t="s">
        <v>50</v>
      </c>
    </row>
    <row r="26" spans="1:1">
      <c r="A26" t="s">
        <v>306</v>
      </c>
    </row>
    <row r="27" spans="1:1">
      <c r="A27" s="165" t="s">
        <v>51</v>
      </c>
    </row>
    <row r="28" spans="1:1">
      <c r="A28" t="s">
        <v>198</v>
      </c>
    </row>
    <row r="29" spans="1:1">
      <c r="A29" s="165" t="s">
        <v>52</v>
      </c>
    </row>
    <row r="30" spans="1:1">
      <c r="A30" t="s">
        <v>369</v>
      </c>
    </row>
    <row r="31" spans="1:1">
      <c r="A31" t="s">
        <v>370</v>
      </c>
    </row>
    <row r="32" spans="1:1">
      <c r="A32" t="s">
        <v>371</v>
      </c>
    </row>
    <row r="33" spans="1:1">
      <c r="A33" t="s">
        <v>372</v>
      </c>
    </row>
    <row r="34" spans="1:1">
      <c r="A34" s="165" t="s">
        <v>437</v>
      </c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8"/>
  <dimension ref="A1:AA116"/>
  <sheetViews>
    <sheetView topLeftCell="H7" workbookViewId="0">
      <selection activeCell="G73" sqref="G73"/>
    </sheetView>
  </sheetViews>
  <sheetFormatPr defaultColWidth="9.140625" defaultRowHeight="15"/>
  <cols>
    <col min="1" max="1" width="7.28515625" bestFit="1" customWidth="1"/>
    <col min="2" max="2" width="25.140625" bestFit="1" customWidth="1"/>
    <col min="3" max="3" width="19.85546875" style="6" bestFit="1" customWidth="1"/>
    <col min="4" max="4" width="19.85546875" style="6" customWidth="1"/>
    <col min="5" max="5" width="27" style="6" bestFit="1" customWidth="1"/>
    <col min="6" max="6" width="19.28515625" style="6" bestFit="1" customWidth="1"/>
    <col min="7" max="7" width="19.28515625" style="6" customWidth="1"/>
    <col min="8" max="8" width="15.85546875" style="6" bestFit="1" customWidth="1"/>
    <col min="9" max="11" width="21.85546875" bestFit="1" customWidth="1"/>
    <col min="12" max="12" width="13.7109375" bestFit="1" customWidth="1"/>
    <col min="13" max="13" width="13.42578125" bestFit="1" customWidth="1"/>
    <col min="14" max="14" width="17.42578125" bestFit="1" customWidth="1"/>
    <col min="18" max="18" width="14.85546875" bestFit="1" customWidth="1"/>
  </cols>
  <sheetData>
    <row r="1" spans="1:15">
      <c r="C1" s="26" t="s">
        <v>15</v>
      </c>
      <c r="D1" s="26"/>
      <c r="E1" s="531" t="s">
        <v>16</v>
      </c>
      <c r="F1" s="531"/>
    </row>
    <row r="2" spans="1:15">
      <c r="C2" s="27">
        <v>4.4999999999999998E-2</v>
      </c>
      <c r="D2" s="27"/>
      <c r="E2" s="532">
        <v>7.0000000000000007E-2</v>
      </c>
      <c r="F2" s="532"/>
      <c r="G2" s="323"/>
      <c r="I2" s="6"/>
      <c r="J2" s="6"/>
      <c r="K2" s="6"/>
      <c r="L2" s="6"/>
    </row>
    <row r="3" spans="1:15">
      <c r="I3" s="6"/>
      <c r="J3" s="6"/>
      <c r="K3" s="6"/>
      <c r="L3" s="6"/>
    </row>
    <row r="4" spans="1:15">
      <c r="I4" s="6"/>
      <c r="J4" s="6"/>
      <c r="K4" s="6"/>
      <c r="L4" s="6"/>
    </row>
    <row r="5" spans="1:15">
      <c r="B5" t="s">
        <v>392</v>
      </c>
      <c r="C5" s="6">
        <v>19</v>
      </c>
      <c r="E5" s="6">
        <v>29</v>
      </c>
      <c r="F5" s="6">
        <v>19</v>
      </c>
      <c r="H5" s="6">
        <v>15</v>
      </c>
      <c r="J5" s="359">
        <f>O7</f>
        <v>8.3110173362116413</v>
      </c>
      <c r="K5" s="359">
        <f>O8</f>
        <v>91.688982663788352</v>
      </c>
    </row>
    <row r="6" spans="1:15">
      <c r="A6" s="504" t="s">
        <v>26</v>
      </c>
      <c r="B6" s="325" t="s">
        <v>393</v>
      </c>
      <c r="C6" s="506" t="s">
        <v>389</v>
      </c>
      <c r="D6" s="506"/>
      <c r="E6" s="325" t="s">
        <v>394</v>
      </c>
      <c r="F6" s="506" t="s">
        <v>390</v>
      </c>
      <c r="G6" s="506"/>
      <c r="H6" s="326" t="s">
        <v>395</v>
      </c>
      <c r="I6" s="339" t="s">
        <v>400</v>
      </c>
      <c r="J6" s="339" t="s">
        <v>400</v>
      </c>
      <c r="K6" s="339" t="s">
        <v>400</v>
      </c>
    </row>
    <row r="7" spans="1:15">
      <c r="A7" s="505"/>
      <c r="B7" s="325" t="s">
        <v>0</v>
      </c>
      <c r="C7" s="325" t="s">
        <v>152</v>
      </c>
      <c r="D7" s="325" t="s">
        <v>121</v>
      </c>
      <c r="E7" s="325" t="s">
        <v>125</v>
      </c>
      <c r="F7" s="325" t="s">
        <v>131</v>
      </c>
      <c r="G7" s="325" t="s">
        <v>135</v>
      </c>
      <c r="H7" s="326" t="s">
        <v>145</v>
      </c>
      <c r="I7" s="339" t="s">
        <v>403</v>
      </c>
      <c r="J7" s="339" t="s">
        <v>402</v>
      </c>
      <c r="K7" s="339" t="s">
        <v>404</v>
      </c>
      <c r="M7">
        <v>10246.77</v>
      </c>
      <c r="N7">
        <v>851.61</v>
      </c>
      <c r="O7">
        <f>N7/N9*100</f>
        <v>8.3110173362116413</v>
      </c>
    </row>
    <row r="8" spans="1:15">
      <c r="A8" s="505"/>
      <c r="B8" s="336" t="s">
        <v>1</v>
      </c>
      <c r="C8" s="340" t="e">
        <f>Mercado!#REF!*'Custo M.O'!$C$23</f>
        <v>#REF!</v>
      </c>
      <c r="D8" s="340" t="e">
        <f>Mercado!#REF!*'Custo M.O'!$D$23</f>
        <v>#REF!</v>
      </c>
      <c r="E8" s="340" t="e">
        <f>Mercado!#REF!*'Custo M.O'!$E$23</f>
        <v>#REF!</v>
      </c>
      <c r="F8" s="340" t="e">
        <f>Mercado!#REF!*'Custo M.O'!$F$23</f>
        <v>#REF!</v>
      </c>
      <c r="G8" s="340" t="e">
        <f>Mercado!#REF!*'Custo M.O'!$G$23</f>
        <v>#REF!</v>
      </c>
      <c r="H8" s="340" t="e">
        <f>Mercado!#REF!*'Custo M.O'!$H$23</f>
        <v>#REF!</v>
      </c>
      <c r="I8" s="7" t="e">
        <f>SUM(C8:H8)</f>
        <v>#REF!</v>
      </c>
      <c r="J8" s="7" t="e">
        <f>I8*$J$5/100</f>
        <v>#REF!</v>
      </c>
      <c r="K8" s="7" t="e">
        <f>I8*$K$5/100</f>
        <v>#REF!</v>
      </c>
      <c r="N8">
        <v>9395.15</v>
      </c>
      <c r="O8">
        <f>N8/N9*100</f>
        <v>91.688982663788352</v>
      </c>
    </row>
    <row r="9" spans="1:15">
      <c r="A9" s="505"/>
      <c r="B9" s="336" t="s">
        <v>2</v>
      </c>
      <c r="C9" s="340" t="e">
        <f>Mercado!#REF!*'Custo M.O'!$C$23</f>
        <v>#REF!</v>
      </c>
      <c r="D9" s="340" t="e">
        <f>Mercado!#REF!*'Custo M.O'!$D$23</f>
        <v>#REF!</v>
      </c>
      <c r="E9" s="340" t="e">
        <f>Mercado!#REF!*'Custo M.O'!$E$23</f>
        <v>#REF!</v>
      </c>
      <c r="F9" s="340" t="e">
        <f>Mercado!#REF!*'Custo M.O'!$F$23</f>
        <v>#REF!</v>
      </c>
      <c r="G9" s="340" t="e">
        <f>Mercado!#REF!*'Custo M.O'!$G$23</f>
        <v>#REF!</v>
      </c>
      <c r="H9" s="340" t="e">
        <f>Mercado!#REF!*'Custo M.O'!$H$23</f>
        <v>#REF!</v>
      </c>
      <c r="I9" s="7" t="e">
        <f t="shared" ref="I9:I19" si="0">SUM(C9:H9)</f>
        <v>#REF!</v>
      </c>
      <c r="J9" s="7" t="e">
        <f t="shared" ref="J9:J19" si="1">I9*$J$5/100</f>
        <v>#REF!</v>
      </c>
      <c r="K9" s="7" t="e">
        <f t="shared" ref="K9:K19" si="2">I9*$K$5/100</f>
        <v>#REF!</v>
      </c>
      <c r="N9">
        <f>SUM(N7:N8)</f>
        <v>10246.76</v>
      </c>
      <c r="O9">
        <f>SUM(O7:O8)</f>
        <v>100</v>
      </c>
    </row>
    <row r="10" spans="1:15">
      <c r="A10" s="505"/>
      <c r="B10" s="336" t="s">
        <v>3</v>
      </c>
      <c r="C10" s="340" t="e">
        <f>Mercado!#REF!*'Custo M.O'!$C$23</f>
        <v>#REF!</v>
      </c>
      <c r="D10" s="340" t="e">
        <f>Mercado!#REF!*'Custo M.O'!$D$23</f>
        <v>#REF!</v>
      </c>
      <c r="E10" s="340" t="e">
        <f>Mercado!#REF!*'Custo M.O'!$E$23</f>
        <v>#REF!</v>
      </c>
      <c r="F10" s="340" t="e">
        <f>Mercado!#REF!*'Custo M.O'!$F$23</f>
        <v>#REF!</v>
      </c>
      <c r="G10" s="340" t="e">
        <f>Mercado!#REF!*'Custo M.O'!$G$23</f>
        <v>#REF!</v>
      </c>
      <c r="H10" s="340" t="e">
        <f>Mercado!#REF!*'Custo M.O'!$H$23</f>
        <v>#REF!</v>
      </c>
      <c r="I10" s="7" t="e">
        <f t="shared" si="0"/>
        <v>#REF!</v>
      </c>
      <c r="J10" s="7" t="e">
        <f t="shared" si="1"/>
        <v>#REF!</v>
      </c>
      <c r="K10" s="7" t="e">
        <f t="shared" si="2"/>
        <v>#REF!</v>
      </c>
    </row>
    <row r="11" spans="1:15">
      <c r="A11" s="505"/>
      <c r="B11" s="336" t="s">
        <v>4</v>
      </c>
      <c r="C11" s="340" t="e">
        <f>Mercado!#REF!*'Custo M.O'!$C$23</f>
        <v>#REF!</v>
      </c>
      <c r="D11" s="340" t="e">
        <f>Mercado!#REF!*'Custo M.O'!$D$23</f>
        <v>#REF!</v>
      </c>
      <c r="E11" s="340" t="e">
        <f>Mercado!#REF!*'Custo M.O'!$E$23</f>
        <v>#REF!</v>
      </c>
      <c r="F11" s="340" t="e">
        <f>Mercado!#REF!*'Custo M.O'!$F$23</f>
        <v>#REF!</v>
      </c>
      <c r="G11" s="340" t="e">
        <f>Mercado!#REF!*'Custo M.O'!$G$23</f>
        <v>#REF!</v>
      </c>
      <c r="H11" s="340" t="e">
        <f>Mercado!#REF!*'Custo M.O'!$H$23</f>
        <v>#REF!</v>
      </c>
      <c r="I11" s="7" t="e">
        <f t="shared" si="0"/>
        <v>#REF!</v>
      </c>
      <c r="J11" s="7" t="e">
        <f t="shared" si="1"/>
        <v>#REF!</v>
      </c>
      <c r="K11" s="7" t="e">
        <f t="shared" si="2"/>
        <v>#REF!</v>
      </c>
    </row>
    <row r="12" spans="1:15">
      <c r="A12" s="505"/>
      <c r="B12" s="336" t="s">
        <v>5</v>
      </c>
      <c r="C12" s="340" t="e">
        <f>Mercado!#REF!*'Custo M.O'!$C$23</f>
        <v>#REF!</v>
      </c>
      <c r="D12" s="340" t="e">
        <f>Mercado!#REF!*'Custo M.O'!$D$23</f>
        <v>#REF!</v>
      </c>
      <c r="E12" s="340" t="e">
        <f>Mercado!#REF!*'Custo M.O'!$E$23</f>
        <v>#REF!</v>
      </c>
      <c r="F12" s="340" t="e">
        <f>Mercado!#REF!*'Custo M.O'!$F$23</f>
        <v>#REF!</v>
      </c>
      <c r="G12" s="340" t="e">
        <f>Mercado!#REF!*'Custo M.O'!$G$23</f>
        <v>#REF!</v>
      </c>
      <c r="H12" s="340" t="e">
        <f>Mercado!#REF!*'Custo M.O'!$H$23</f>
        <v>#REF!</v>
      </c>
      <c r="I12" s="7" t="e">
        <f t="shared" si="0"/>
        <v>#REF!</v>
      </c>
      <c r="J12" s="7" t="e">
        <f t="shared" si="1"/>
        <v>#REF!</v>
      </c>
      <c r="K12" s="7" t="e">
        <f t="shared" si="2"/>
        <v>#REF!</v>
      </c>
    </row>
    <row r="13" spans="1:15">
      <c r="A13" s="505"/>
      <c r="B13" s="336" t="s">
        <v>6</v>
      </c>
      <c r="C13" s="340" t="e">
        <f>Mercado!#REF!*'Custo M.O'!$C$23</f>
        <v>#REF!</v>
      </c>
      <c r="D13" s="340" t="e">
        <f>Mercado!#REF!*'Custo M.O'!$D$23</f>
        <v>#REF!</v>
      </c>
      <c r="E13" s="340" t="e">
        <f>Mercado!#REF!*'Custo M.O'!$E$23</f>
        <v>#REF!</v>
      </c>
      <c r="F13" s="340" t="e">
        <f>Mercado!#REF!*'Custo M.O'!$F$23</f>
        <v>#REF!</v>
      </c>
      <c r="G13" s="340" t="e">
        <f>Mercado!#REF!*'Custo M.O'!$G$23</f>
        <v>#REF!</v>
      </c>
      <c r="H13" s="340" t="e">
        <f>Mercado!#REF!*'Custo M.O'!$H$23</f>
        <v>#REF!</v>
      </c>
      <c r="I13" s="7" t="e">
        <f t="shared" si="0"/>
        <v>#REF!</v>
      </c>
      <c r="J13" s="7" t="e">
        <f t="shared" si="1"/>
        <v>#REF!</v>
      </c>
      <c r="K13" s="7" t="e">
        <f t="shared" si="2"/>
        <v>#REF!</v>
      </c>
    </row>
    <row r="14" spans="1:15">
      <c r="A14" s="505"/>
      <c r="B14" s="336" t="s">
        <v>7</v>
      </c>
      <c r="C14" s="340" t="e">
        <f>Mercado!#REF!*'Custo M.O'!$C$23</f>
        <v>#REF!</v>
      </c>
      <c r="D14" s="340" t="e">
        <f>Mercado!#REF!*'Custo M.O'!$D$23</f>
        <v>#REF!</v>
      </c>
      <c r="E14" s="340" t="e">
        <f>Mercado!#REF!*'Custo M.O'!$E$23</f>
        <v>#REF!</v>
      </c>
      <c r="F14" s="340" t="e">
        <f>Mercado!#REF!*'Custo M.O'!$F$23</f>
        <v>#REF!</v>
      </c>
      <c r="G14" s="340" t="e">
        <f>Mercado!#REF!*'Custo M.O'!$G$23</f>
        <v>#REF!</v>
      </c>
      <c r="H14" s="340" t="e">
        <f>Mercado!#REF!*'Custo M.O'!$H$23</f>
        <v>#REF!</v>
      </c>
      <c r="I14" s="7" t="e">
        <f t="shared" si="0"/>
        <v>#REF!</v>
      </c>
      <c r="J14" s="7" t="e">
        <f t="shared" si="1"/>
        <v>#REF!</v>
      </c>
      <c r="K14" s="7" t="e">
        <f t="shared" si="2"/>
        <v>#REF!</v>
      </c>
    </row>
    <row r="15" spans="1:15">
      <c r="A15" s="505"/>
      <c r="B15" s="336" t="s">
        <v>8</v>
      </c>
      <c r="C15" s="340" t="e">
        <f>Mercado!#REF!*'Custo M.O'!$C$23</f>
        <v>#REF!</v>
      </c>
      <c r="D15" s="340" t="e">
        <f>Mercado!#REF!*'Custo M.O'!$D$23</f>
        <v>#REF!</v>
      </c>
      <c r="E15" s="340" t="e">
        <f>Mercado!#REF!*'Custo M.O'!$E$23</f>
        <v>#REF!</v>
      </c>
      <c r="F15" s="340" t="e">
        <f>Mercado!#REF!*'Custo M.O'!$F$23</f>
        <v>#REF!</v>
      </c>
      <c r="G15" s="340" t="e">
        <f>Mercado!#REF!*'Custo M.O'!$G$23</f>
        <v>#REF!</v>
      </c>
      <c r="H15" s="340" t="e">
        <f>Mercado!#REF!*'Custo M.O'!$H$23</f>
        <v>#REF!</v>
      </c>
      <c r="I15" s="7" t="e">
        <f t="shared" si="0"/>
        <v>#REF!</v>
      </c>
      <c r="J15" s="7" t="e">
        <f t="shared" si="1"/>
        <v>#REF!</v>
      </c>
      <c r="K15" s="7" t="e">
        <f t="shared" si="2"/>
        <v>#REF!</v>
      </c>
    </row>
    <row r="16" spans="1:15">
      <c r="A16" s="505"/>
      <c r="B16" s="336" t="s">
        <v>9</v>
      </c>
      <c r="C16" s="340" t="e">
        <f>Mercado!#REF!*'Custo M.O'!$C$23</f>
        <v>#REF!</v>
      </c>
      <c r="D16" s="340" t="e">
        <f>Mercado!#REF!*'Custo M.O'!$D$23</f>
        <v>#REF!</v>
      </c>
      <c r="E16" s="340" t="e">
        <f>Mercado!#REF!*'Custo M.O'!$E$23</f>
        <v>#REF!</v>
      </c>
      <c r="F16" s="340" t="e">
        <f>Mercado!#REF!*'Custo M.O'!$F$23</f>
        <v>#REF!</v>
      </c>
      <c r="G16" s="340" t="e">
        <f>Mercado!#REF!*'Custo M.O'!$G$23</f>
        <v>#REF!</v>
      </c>
      <c r="H16" s="340" t="e">
        <f>Mercado!#REF!*'Custo M.O'!$H$23</f>
        <v>#REF!</v>
      </c>
      <c r="I16" s="7" t="e">
        <f t="shared" si="0"/>
        <v>#REF!</v>
      </c>
      <c r="J16" s="7" t="e">
        <f t="shared" si="1"/>
        <v>#REF!</v>
      </c>
      <c r="K16" s="7" t="e">
        <f t="shared" si="2"/>
        <v>#REF!</v>
      </c>
    </row>
    <row r="17" spans="1:25">
      <c r="A17" s="505"/>
      <c r="B17" s="336" t="s">
        <v>10</v>
      </c>
      <c r="C17" s="340" t="e">
        <f>Mercado!#REF!*'Custo M.O'!$C$23</f>
        <v>#REF!</v>
      </c>
      <c r="D17" s="340" t="e">
        <f>Mercado!#REF!*'Custo M.O'!$D$23</f>
        <v>#REF!</v>
      </c>
      <c r="E17" s="340" t="e">
        <f>Mercado!#REF!*'Custo M.O'!$E$23</f>
        <v>#REF!</v>
      </c>
      <c r="F17" s="340" t="e">
        <f>Mercado!#REF!*'Custo M.O'!$F$23</f>
        <v>#REF!</v>
      </c>
      <c r="G17" s="340" t="e">
        <f>Mercado!#REF!*'Custo M.O'!$G$23</f>
        <v>#REF!</v>
      </c>
      <c r="H17" s="340" t="e">
        <f>Mercado!#REF!*'Custo M.O'!$H$23</f>
        <v>#REF!</v>
      </c>
      <c r="I17" s="7" t="e">
        <f t="shared" si="0"/>
        <v>#REF!</v>
      </c>
      <c r="J17" s="7" t="e">
        <f t="shared" si="1"/>
        <v>#REF!</v>
      </c>
      <c r="K17" s="7" t="e">
        <f t="shared" si="2"/>
        <v>#REF!</v>
      </c>
    </row>
    <row r="18" spans="1:25">
      <c r="A18" s="505"/>
      <c r="B18" s="336" t="s">
        <v>11</v>
      </c>
      <c r="C18" s="340" t="e">
        <f>Mercado!#REF!*'Custo M.O'!$C$23</f>
        <v>#REF!</v>
      </c>
      <c r="D18" s="340" t="e">
        <f>Mercado!#REF!*'Custo M.O'!$D$23</f>
        <v>#REF!</v>
      </c>
      <c r="E18" s="340" t="e">
        <f>Mercado!#REF!*'Custo M.O'!$E$23</f>
        <v>#REF!</v>
      </c>
      <c r="F18" s="340" t="e">
        <f>Mercado!#REF!*'Custo M.O'!$F$23</f>
        <v>#REF!</v>
      </c>
      <c r="G18" s="340" t="e">
        <f>Mercado!#REF!*'Custo M.O'!$G$23</f>
        <v>#REF!</v>
      </c>
      <c r="H18" s="340" t="e">
        <f>Mercado!#REF!*'Custo M.O'!$H$23</f>
        <v>#REF!</v>
      </c>
      <c r="I18" s="7" t="e">
        <f t="shared" si="0"/>
        <v>#REF!</v>
      </c>
      <c r="J18" s="7" t="e">
        <f t="shared" si="1"/>
        <v>#REF!</v>
      </c>
      <c r="K18" s="7" t="e">
        <f t="shared" si="2"/>
        <v>#REF!</v>
      </c>
    </row>
    <row r="19" spans="1:25">
      <c r="A19" s="505"/>
      <c r="B19" s="336" t="s">
        <v>12</v>
      </c>
      <c r="C19" s="340" t="e">
        <f>Mercado!#REF!*'Custo M.O'!$C$23</f>
        <v>#REF!</v>
      </c>
      <c r="D19" s="340" t="e">
        <f>Mercado!#REF!*'Custo M.O'!$D$23</f>
        <v>#REF!</v>
      </c>
      <c r="E19" s="340" t="e">
        <f>Mercado!#REF!*'Custo M.O'!$E$23</f>
        <v>#REF!</v>
      </c>
      <c r="F19" s="340" t="e">
        <f>Mercado!#REF!*'Custo M.O'!$F$23</f>
        <v>#REF!</v>
      </c>
      <c r="G19" s="340" t="e">
        <f>Mercado!#REF!*'Custo M.O'!$G$23</f>
        <v>#REF!</v>
      </c>
      <c r="H19" s="340" t="e">
        <f>Mercado!#REF!*'Custo M.O'!$H$23</f>
        <v>#REF!</v>
      </c>
      <c r="I19" s="7" t="e">
        <f t="shared" si="0"/>
        <v>#REF!</v>
      </c>
      <c r="J19" s="7" t="e">
        <f t="shared" si="1"/>
        <v>#REF!</v>
      </c>
      <c r="K19" s="7" t="e">
        <f t="shared" si="2"/>
        <v>#REF!</v>
      </c>
    </row>
    <row r="20" spans="1:25">
      <c r="A20" s="505"/>
      <c r="B20" s="339" t="s">
        <v>13</v>
      </c>
      <c r="C20" s="344" t="e">
        <f>SUM(C8:C19)</f>
        <v>#REF!</v>
      </c>
      <c r="D20" s="344" t="e">
        <f t="shared" ref="D20:G20" si="3">SUM(D8:D19)</f>
        <v>#REF!</v>
      </c>
      <c r="E20" s="344" t="e">
        <f t="shared" si="3"/>
        <v>#REF!</v>
      </c>
      <c r="F20" s="344" t="e">
        <f t="shared" si="3"/>
        <v>#REF!</v>
      </c>
      <c r="G20" s="344" t="e">
        <f t="shared" si="3"/>
        <v>#REF!</v>
      </c>
      <c r="H20" s="360" t="e">
        <f>Mercado!#REF!*'Custo M.O'!$H$23</f>
        <v>#REF!</v>
      </c>
      <c r="I20" s="361" t="e">
        <f>SUM(I8:I19)</f>
        <v>#REF!</v>
      </c>
      <c r="J20" s="362" t="e">
        <f>SUM(J8:J19)</f>
        <v>#REF!</v>
      </c>
      <c r="K20" s="362" t="e">
        <f>SUM(K8:K19)</f>
        <v>#REF!</v>
      </c>
    </row>
    <row r="21" spans="1:25" ht="14.45" hidden="1" customHeight="1">
      <c r="A21" s="505"/>
      <c r="B21" s="329" t="s">
        <v>313</v>
      </c>
      <c r="C21" s="330">
        <f>C22-C23</f>
        <v>-3060.76</v>
      </c>
      <c r="D21" s="330">
        <f t="shared" ref="D21:H21" si="4">D22-D23</f>
        <v>-3276.5699999999979</v>
      </c>
      <c r="E21" s="330">
        <f t="shared" si="4"/>
        <v>-7153.989999999998</v>
      </c>
      <c r="F21" s="330">
        <f t="shared" si="4"/>
        <v>-8289.6799999999967</v>
      </c>
      <c r="G21" s="330">
        <f t="shared" si="4"/>
        <v>-5459.6500000000015</v>
      </c>
      <c r="H21" s="330">
        <f t="shared" si="4"/>
        <v>-9823.2200000000012</v>
      </c>
    </row>
    <row r="22" spans="1:25" ht="14.45" hidden="1" customHeight="1">
      <c r="A22" s="505"/>
      <c r="B22" s="325" t="s">
        <v>93</v>
      </c>
      <c r="C22" s="331">
        <f>'Calculo Custo Serviço'!B29</f>
        <v>12801.6</v>
      </c>
      <c r="D22" s="331">
        <f>'Calculo Custo Serviço'!B30</f>
        <v>14267.35</v>
      </c>
      <c r="E22" s="331">
        <f>'Calculo Custo Serviço'!B31</f>
        <v>20682.93</v>
      </c>
      <c r="F22" s="331">
        <f>'Calculo Custo Serviço'!B32</f>
        <v>25556.66</v>
      </c>
      <c r="G22" s="331">
        <f>'Calculo Custo Serviço'!B33</f>
        <v>33043.199999999997</v>
      </c>
      <c r="H22" s="331">
        <f>'Calculo Custo Serviço'!B34</f>
        <v>57036.31</v>
      </c>
    </row>
    <row r="23" spans="1:25">
      <c r="A23" s="505"/>
      <c r="B23" s="325" t="s">
        <v>94</v>
      </c>
      <c r="C23" s="332">
        <f>C24+C25</f>
        <v>15862.36</v>
      </c>
      <c r="D23" s="332">
        <f t="shared" ref="D23:H23" si="5">D24+D25</f>
        <v>17543.919999999998</v>
      </c>
      <c r="E23" s="332">
        <f t="shared" si="5"/>
        <v>27836.92</v>
      </c>
      <c r="F23" s="332">
        <f t="shared" si="5"/>
        <v>33846.339999999997</v>
      </c>
      <c r="G23" s="332">
        <f t="shared" si="5"/>
        <v>38502.85</v>
      </c>
      <c r="H23" s="332">
        <f t="shared" si="5"/>
        <v>66859.53</v>
      </c>
    </row>
    <row r="24" spans="1:25">
      <c r="A24" s="505"/>
      <c r="B24" s="333" t="s">
        <v>194</v>
      </c>
      <c r="C24" s="334">
        <v>3638.58</v>
      </c>
      <c r="D24" s="334">
        <v>4300.1400000000003</v>
      </c>
      <c r="E24" s="334">
        <v>6853.14</v>
      </c>
      <c r="F24" s="334">
        <v>7692.3</v>
      </c>
      <c r="G24" s="334">
        <v>7814.4</v>
      </c>
      <c r="H24" s="334">
        <v>11229.87</v>
      </c>
    </row>
    <row r="25" spans="1:25">
      <c r="A25" s="505"/>
      <c r="B25" s="333" t="s">
        <v>195</v>
      </c>
      <c r="C25" s="335">
        <v>12223.78</v>
      </c>
      <c r="D25" s="335">
        <f>17543.92-4300.14</f>
        <v>13243.779999999999</v>
      </c>
      <c r="E25" s="334">
        <f>27836.92-6853.14</f>
        <v>20983.78</v>
      </c>
      <c r="F25" s="334">
        <f>33846.34-7692.3</f>
        <v>26154.039999999997</v>
      </c>
      <c r="G25" s="334">
        <f>38502.85-7814.4</f>
        <v>30688.449999999997</v>
      </c>
      <c r="H25" s="334">
        <f>66859.53-11229.87</f>
        <v>55629.659999999996</v>
      </c>
    </row>
    <row r="26" spans="1:25">
      <c r="B26" s="28"/>
      <c r="C26" s="358"/>
      <c r="D26" s="358"/>
      <c r="E26" s="30"/>
      <c r="F26" s="30"/>
      <c r="G26" s="30"/>
      <c r="H26" s="30"/>
    </row>
    <row r="27" spans="1:25">
      <c r="B27" s="28"/>
      <c r="C27" s="106"/>
      <c r="D27" s="106"/>
      <c r="E27" s="30"/>
      <c r="F27" s="30"/>
      <c r="G27" s="30"/>
      <c r="H27" s="30"/>
      <c r="R27" s="26">
        <v>2019</v>
      </c>
      <c r="S27" s="8" t="s">
        <v>35</v>
      </c>
      <c r="T27" s="8" t="s">
        <v>36</v>
      </c>
      <c r="U27" s="8" t="s">
        <v>37</v>
      </c>
      <c r="V27" s="8" t="s">
        <v>38</v>
      </c>
      <c r="W27" s="8" t="s">
        <v>39</v>
      </c>
      <c r="X27" s="8" t="s">
        <v>199</v>
      </c>
      <c r="Y27" s="26" t="s">
        <v>17</v>
      </c>
    </row>
    <row r="28" spans="1:25">
      <c r="C28" s="106"/>
      <c r="D28" s="106"/>
      <c r="E28" s="30"/>
      <c r="F28" s="30"/>
      <c r="G28" s="30"/>
      <c r="H28" s="30"/>
      <c r="J28" s="359"/>
      <c r="K28" s="359"/>
      <c r="R28" s="26" t="s">
        <v>30</v>
      </c>
      <c r="S28" s="9">
        <f>SUM(C27:C29)</f>
        <v>0</v>
      </c>
      <c r="T28" s="9">
        <f>SUM(E27:E29)</f>
        <v>0</v>
      </c>
      <c r="U28" s="9">
        <f>SUM(F27:F29)</f>
        <v>0</v>
      </c>
      <c r="V28" s="9" t="e">
        <f>SUM(#REF!)</f>
        <v>#REF!</v>
      </c>
      <c r="W28" s="9" t="e">
        <f>SUM(#REF!)</f>
        <v>#REF!</v>
      </c>
      <c r="X28" s="9"/>
      <c r="Y28" s="10" t="e">
        <f>SUM(#REF!)</f>
        <v>#REF!</v>
      </c>
    </row>
    <row r="29" spans="1:25">
      <c r="B29" s="346" t="s">
        <v>393</v>
      </c>
      <c r="C29" s="527" t="s">
        <v>389</v>
      </c>
      <c r="D29" s="527"/>
      <c r="E29" s="346" t="s">
        <v>394</v>
      </c>
      <c r="F29" s="527" t="s">
        <v>390</v>
      </c>
      <c r="G29" s="527"/>
      <c r="H29" s="347" t="s">
        <v>395</v>
      </c>
      <c r="I29" s="339" t="s">
        <v>400</v>
      </c>
      <c r="J29" s="339" t="s">
        <v>400</v>
      </c>
      <c r="K29" s="339" t="s">
        <v>400</v>
      </c>
      <c r="R29" s="26" t="s">
        <v>31</v>
      </c>
      <c r="S29" s="9" t="e">
        <f>SUM(C30:C32)</f>
        <v>#REF!</v>
      </c>
      <c r="T29" s="9" t="e">
        <f>SUM(E30:E32)</f>
        <v>#REF!</v>
      </c>
      <c r="U29" s="9" t="e">
        <f>SUM(F30:F32)</f>
        <v>#REF!</v>
      </c>
      <c r="V29" s="9" t="e">
        <f>SUM(#REF!)</f>
        <v>#REF!</v>
      </c>
      <c r="W29" s="9" t="e">
        <f>SUM(#REF!)</f>
        <v>#REF!</v>
      </c>
      <c r="X29" s="9"/>
      <c r="Y29" s="10" t="e">
        <f>SUM(#REF!)</f>
        <v>#REF!</v>
      </c>
    </row>
    <row r="30" spans="1:25">
      <c r="A30" s="528" t="s">
        <v>27</v>
      </c>
      <c r="B30" s="346" t="s">
        <v>0</v>
      </c>
      <c r="C30" s="346" t="s">
        <v>152</v>
      </c>
      <c r="D30" s="346" t="s">
        <v>121</v>
      </c>
      <c r="E30" s="346" t="s">
        <v>125</v>
      </c>
      <c r="F30" s="346" t="s">
        <v>131</v>
      </c>
      <c r="G30" s="346" t="s">
        <v>135</v>
      </c>
      <c r="H30" s="347" t="s">
        <v>145</v>
      </c>
      <c r="I30" s="339" t="s">
        <v>403</v>
      </c>
      <c r="J30" s="339" t="s">
        <v>402</v>
      </c>
      <c r="K30" s="339" t="s">
        <v>404</v>
      </c>
      <c r="R30" s="26" t="s">
        <v>32</v>
      </c>
      <c r="S30" s="9" t="e">
        <f>SUM(C33:C35)</f>
        <v>#REF!</v>
      </c>
      <c r="T30" s="9" t="e">
        <f>SUM(E33:E35)</f>
        <v>#REF!</v>
      </c>
      <c r="U30" s="9" t="e">
        <f>SUM(F33:F35)</f>
        <v>#REF!</v>
      </c>
      <c r="V30" s="9" t="e">
        <f>SUM(#REF!)</f>
        <v>#REF!</v>
      </c>
      <c r="W30" s="9" t="e">
        <f>SUM(#REF!)</f>
        <v>#REF!</v>
      </c>
      <c r="X30" s="9"/>
      <c r="Y30" s="10" t="e">
        <f>SUM(#REF!)</f>
        <v>#REF!</v>
      </c>
    </row>
    <row r="31" spans="1:25">
      <c r="A31" s="529"/>
      <c r="B31" s="348" t="s">
        <v>1</v>
      </c>
      <c r="C31" s="356" t="e">
        <f>Mercado!#REF!*'Custo M.O'!$C$46</f>
        <v>#REF!</v>
      </c>
      <c r="D31" s="356" t="e">
        <f>Mercado!#REF!*'Custo M.O'!$D$46</f>
        <v>#REF!</v>
      </c>
      <c r="E31" s="356" t="e">
        <f>Mercado!#REF!*'Custo M.O'!$E$46</f>
        <v>#REF!</v>
      </c>
      <c r="F31" s="356" t="e">
        <f>Mercado!#REF!*'Custo M.O'!$F$46</f>
        <v>#REF!</v>
      </c>
      <c r="G31" s="356" t="e">
        <f>Mercado!#REF!*'Custo M.O'!$G$46</f>
        <v>#REF!</v>
      </c>
      <c r="H31" s="356" t="e">
        <f>Mercado!#REF!*'Custo M.O'!$H$46</f>
        <v>#REF!</v>
      </c>
      <c r="I31" s="7" t="e">
        <f>SUM(C31:H31)</f>
        <v>#REF!</v>
      </c>
      <c r="J31" s="7" t="e">
        <f>I31*$J$5/100</f>
        <v>#REF!</v>
      </c>
      <c r="K31" s="7" t="e">
        <f>I31*$K$5/100</f>
        <v>#REF!</v>
      </c>
      <c r="R31" s="26" t="s">
        <v>33</v>
      </c>
      <c r="S31" s="9" t="e">
        <f>SUM(C36:C38)</f>
        <v>#REF!</v>
      </c>
      <c r="T31" s="9" t="e">
        <f>SUM(E36:E38)</f>
        <v>#REF!</v>
      </c>
      <c r="U31" s="9" t="e">
        <f>SUM(F36:F38)</f>
        <v>#REF!</v>
      </c>
      <c r="V31" s="9" t="e">
        <f>SUM(#REF!)</f>
        <v>#REF!</v>
      </c>
      <c r="W31" s="9" t="e">
        <f>SUM(#REF!)</f>
        <v>#REF!</v>
      </c>
      <c r="X31" s="9"/>
      <c r="Y31" s="10" t="e">
        <f>SUM(#REF!)</f>
        <v>#REF!</v>
      </c>
    </row>
    <row r="32" spans="1:25">
      <c r="A32" s="529"/>
      <c r="B32" s="348" t="s">
        <v>2</v>
      </c>
      <c r="C32" s="356" t="e">
        <f>Mercado!#REF!*'Custo M.O'!$C$46</f>
        <v>#REF!</v>
      </c>
      <c r="D32" s="356" t="e">
        <f>Mercado!#REF!*'Custo M.O'!$D$46</f>
        <v>#REF!</v>
      </c>
      <c r="E32" s="356" t="e">
        <f>Mercado!#REF!*'Custo M.O'!$E$46</f>
        <v>#REF!</v>
      </c>
      <c r="F32" s="356" t="e">
        <f>Mercado!#REF!*'Custo M.O'!$F$46</f>
        <v>#REF!</v>
      </c>
      <c r="G32" s="356" t="e">
        <f>Mercado!#REF!*'Custo M.O'!$G$46</f>
        <v>#REF!</v>
      </c>
      <c r="H32" s="356" t="e">
        <f>Mercado!#REF!*'Custo M.O'!$H$46</f>
        <v>#REF!</v>
      </c>
      <c r="I32" s="7" t="e">
        <f t="shared" ref="I32:I42" si="6">SUM(C32:H32)</f>
        <v>#REF!</v>
      </c>
      <c r="J32" s="7" t="e">
        <f t="shared" ref="J32:J42" si="7">I32*$J$5/100</f>
        <v>#REF!</v>
      </c>
      <c r="K32" s="7" t="e">
        <f t="shared" ref="K32:K42" si="8">I32*$K$5/100</f>
        <v>#REF!</v>
      </c>
      <c r="R32" s="26" t="s">
        <v>21</v>
      </c>
      <c r="S32" s="10" t="e">
        <f>C41</f>
        <v>#REF!</v>
      </c>
      <c r="T32" s="10" t="e">
        <f>E41</f>
        <v>#REF!</v>
      </c>
      <c r="U32" s="10" t="e">
        <f>F41</f>
        <v>#REF!</v>
      </c>
      <c r="V32" s="10" t="e">
        <f>H41</f>
        <v>#REF!</v>
      </c>
      <c r="W32" s="10" t="e">
        <f>#REF!</f>
        <v>#REF!</v>
      </c>
      <c r="X32" s="10"/>
      <c r="Y32" s="10" t="e">
        <f>SUM(Y28:Y31)</f>
        <v>#REF!</v>
      </c>
    </row>
    <row r="33" spans="1:27">
      <c r="A33" s="529"/>
      <c r="B33" s="348" t="s">
        <v>3</v>
      </c>
      <c r="C33" s="356" t="e">
        <f>Mercado!#REF!*'Custo M.O'!$C$46</f>
        <v>#REF!</v>
      </c>
      <c r="D33" s="356" t="e">
        <f>Mercado!#REF!*'Custo M.O'!$D$46</f>
        <v>#REF!</v>
      </c>
      <c r="E33" s="356" t="e">
        <f>Mercado!#REF!*'Custo M.O'!$E$46</f>
        <v>#REF!</v>
      </c>
      <c r="F33" s="356" t="e">
        <f>Mercado!#REF!*'Custo M.O'!$F$46</f>
        <v>#REF!</v>
      </c>
      <c r="G33" s="356" t="e">
        <f>Mercado!#REF!*'Custo M.O'!$G$46</f>
        <v>#REF!</v>
      </c>
      <c r="H33" s="356" t="e">
        <f>Mercado!#REF!*'Custo M.O'!$H$46</f>
        <v>#REF!</v>
      </c>
      <c r="I33" s="7" t="e">
        <f t="shared" si="6"/>
        <v>#REF!</v>
      </c>
      <c r="J33" s="7" t="e">
        <f t="shared" si="7"/>
        <v>#REF!</v>
      </c>
      <c r="K33" s="7" t="e">
        <f t="shared" si="8"/>
        <v>#REF!</v>
      </c>
    </row>
    <row r="34" spans="1:27">
      <c r="A34" s="529"/>
      <c r="B34" s="348" t="s">
        <v>4</v>
      </c>
      <c r="C34" s="356" t="e">
        <f>Mercado!#REF!*'Custo M.O'!$C$46</f>
        <v>#REF!</v>
      </c>
      <c r="D34" s="356" t="e">
        <f>Mercado!#REF!*'Custo M.O'!$D$46</f>
        <v>#REF!</v>
      </c>
      <c r="E34" s="356" t="e">
        <f>Mercado!#REF!*'Custo M.O'!$E$46</f>
        <v>#REF!</v>
      </c>
      <c r="F34" s="356" t="e">
        <f>Mercado!#REF!*'Custo M.O'!$F$46</f>
        <v>#REF!</v>
      </c>
      <c r="G34" s="356" t="e">
        <f>Mercado!#REF!*'Custo M.O'!$G$46</f>
        <v>#REF!</v>
      </c>
      <c r="H34" s="356" t="e">
        <f>Mercado!#REF!*'Custo M.O'!$H$46</f>
        <v>#REF!</v>
      </c>
      <c r="I34" s="7" t="e">
        <f t="shared" si="6"/>
        <v>#REF!</v>
      </c>
      <c r="J34" s="7" t="e">
        <f t="shared" si="7"/>
        <v>#REF!</v>
      </c>
      <c r="K34" s="7" t="e">
        <f t="shared" si="8"/>
        <v>#REF!</v>
      </c>
    </row>
    <row r="35" spans="1:27">
      <c r="A35" s="529"/>
      <c r="B35" s="348" t="s">
        <v>5</v>
      </c>
      <c r="C35" s="356" t="e">
        <f>Mercado!#REF!*'Custo M.O'!$C$46</f>
        <v>#REF!</v>
      </c>
      <c r="D35" s="356" t="e">
        <f>Mercado!#REF!*'Custo M.O'!$D$46</f>
        <v>#REF!</v>
      </c>
      <c r="E35" s="356" t="e">
        <f>Mercado!#REF!*'Custo M.O'!$E$46</f>
        <v>#REF!</v>
      </c>
      <c r="F35" s="356" t="e">
        <f>Mercado!#REF!*'Custo M.O'!$F$46</f>
        <v>#REF!</v>
      </c>
      <c r="G35" s="356" t="e">
        <f>Mercado!#REF!*'Custo M.O'!$G$46</f>
        <v>#REF!</v>
      </c>
      <c r="H35" s="356" t="e">
        <f>Mercado!#REF!*'Custo M.O'!$H$46</f>
        <v>#REF!</v>
      </c>
      <c r="I35" s="7" t="e">
        <f t="shared" si="6"/>
        <v>#REF!</v>
      </c>
      <c r="J35" s="7" t="e">
        <f t="shared" si="7"/>
        <v>#REF!</v>
      </c>
      <c r="K35" s="7" t="e">
        <f t="shared" si="8"/>
        <v>#REF!</v>
      </c>
    </row>
    <row r="36" spans="1:27">
      <c r="A36" s="529"/>
      <c r="B36" s="348" t="s">
        <v>6</v>
      </c>
      <c r="C36" s="356" t="e">
        <f>Mercado!#REF!*'Custo M.O'!$C$46</f>
        <v>#REF!</v>
      </c>
      <c r="D36" s="356" t="e">
        <f>Mercado!#REF!*'Custo M.O'!$D$46</f>
        <v>#REF!</v>
      </c>
      <c r="E36" s="356" t="e">
        <f>Mercado!#REF!*'Custo M.O'!$E$46</f>
        <v>#REF!</v>
      </c>
      <c r="F36" s="356" t="e">
        <f>Mercado!#REF!*'Custo M.O'!$F$46</f>
        <v>#REF!</v>
      </c>
      <c r="G36" s="356" t="e">
        <f>Mercado!#REF!*'Custo M.O'!$G$46</f>
        <v>#REF!</v>
      </c>
      <c r="H36" s="356" t="e">
        <f>Mercado!#REF!*'Custo M.O'!$H$46</f>
        <v>#REF!</v>
      </c>
      <c r="I36" s="7" t="e">
        <f t="shared" si="6"/>
        <v>#REF!</v>
      </c>
      <c r="J36" s="7" t="e">
        <f t="shared" si="7"/>
        <v>#REF!</v>
      </c>
      <c r="K36" s="7" t="e">
        <f t="shared" si="8"/>
        <v>#REF!</v>
      </c>
    </row>
    <row r="37" spans="1:27">
      <c r="A37" s="529"/>
      <c r="B37" s="348" t="s">
        <v>7</v>
      </c>
      <c r="C37" s="356" t="e">
        <f>Mercado!#REF!*'Custo M.O'!$C$46</f>
        <v>#REF!</v>
      </c>
      <c r="D37" s="356" t="e">
        <f>Mercado!#REF!*'Custo M.O'!$D$46</f>
        <v>#REF!</v>
      </c>
      <c r="E37" s="356" t="e">
        <f>Mercado!#REF!*'Custo M.O'!$E$46</f>
        <v>#REF!</v>
      </c>
      <c r="F37" s="356" t="e">
        <f>Mercado!#REF!*'Custo M.O'!$F$46</f>
        <v>#REF!</v>
      </c>
      <c r="G37" s="356" t="e">
        <f>Mercado!#REF!*'Custo M.O'!$G$46</f>
        <v>#REF!</v>
      </c>
      <c r="H37" s="356" t="e">
        <f>Mercado!#REF!*'Custo M.O'!$H$46</f>
        <v>#REF!</v>
      </c>
      <c r="I37" s="7" t="e">
        <f t="shared" si="6"/>
        <v>#REF!</v>
      </c>
      <c r="J37" s="7" t="e">
        <f t="shared" si="7"/>
        <v>#REF!</v>
      </c>
      <c r="K37" s="7" t="e">
        <f t="shared" si="8"/>
        <v>#REF!</v>
      </c>
    </row>
    <row r="38" spans="1:27">
      <c r="A38" s="529"/>
      <c r="B38" s="348" t="s">
        <v>8</v>
      </c>
      <c r="C38" s="356" t="e">
        <f>Mercado!#REF!*'Custo M.O'!$C$46</f>
        <v>#REF!</v>
      </c>
      <c r="D38" s="356" t="e">
        <f>Mercado!#REF!*'Custo M.O'!$D$46</f>
        <v>#REF!</v>
      </c>
      <c r="E38" s="356" t="e">
        <f>Mercado!#REF!*'Custo M.O'!$E$46</f>
        <v>#REF!</v>
      </c>
      <c r="F38" s="356" t="e">
        <f>Mercado!#REF!*'Custo M.O'!$F$46</f>
        <v>#REF!</v>
      </c>
      <c r="G38" s="356" t="e">
        <f>Mercado!#REF!*'Custo M.O'!$G$46</f>
        <v>#REF!</v>
      </c>
      <c r="H38" s="356" t="e">
        <f>Mercado!#REF!*'Custo M.O'!$H$46</f>
        <v>#REF!</v>
      </c>
      <c r="I38" s="7" t="e">
        <f t="shared" si="6"/>
        <v>#REF!</v>
      </c>
      <c r="J38" s="7" t="e">
        <f t="shared" si="7"/>
        <v>#REF!</v>
      </c>
      <c r="K38" s="7" t="e">
        <f t="shared" si="8"/>
        <v>#REF!</v>
      </c>
    </row>
    <row r="39" spans="1:27">
      <c r="A39" s="529"/>
      <c r="B39" s="348" t="s">
        <v>9</v>
      </c>
      <c r="C39" s="356" t="e">
        <f>Mercado!#REF!*'Custo M.O'!$C$46</f>
        <v>#REF!</v>
      </c>
      <c r="D39" s="356" t="e">
        <f>Mercado!#REF!*'Custo M.O'!$D$46</f>
        <v>#REF!</v>
      </c>
      <c r="E39" s="356" t="e">
        <f>Mercado!#REF!*'Custo M.O'!$E$46</f>
        <v>#REF!</v>
      </c>
      <c r="F39" s="356" t="e">
        <f>Mercado!#REF!*'Custo M.O'!$F$46</f>
        <v>#REF!</v>
      </c>
      <c r="G39" s="356" t="e">
        <f>Mercado!#REF!*'Custo M.O'!$G$46</f>
        <v>#REF!</v>
      </c>
      <c r="H39" s="356" t="e">
        <f>Mercado!#REF!*'Custo M.O'!$H$46</f>
        <v>#REF!</v>
      </c>
      <c r="I39" s="7" t="e">
        <f t="shared" si="6"/>
        <v>#REF!</v>
      </c>
      <c r="J39" s="7" t="e">
        <f t="shared" si="7"/>
        <v>#REF!</v>
      </c>
      <c r="K39" s="7" t="e">
        <f t="shared" si="8"/>
        <v>#REF!</v>
      </c>
    </row>
    <row r="40" spans="1:27">
      <c r="A40" s="529"/>
      <c r="B40" s="348" t="s">
        <v>10</v>
      </c>
      <c r="C40" s="356" t="e">
        <f>Mercado!#REF!*'Custo M.O'!$C$46</f>
        <v>#REF!</v>
      </c>
      <c r="D40" s="356" t="e">
        <f>Mercado!#REF!*'Custo M.O'!$D$46</f>
        <v>#REF!</v>
      </c>
      <c r="E40" s="356" t="e">
        <f>Mercado!#REF!*'Custo M.O'!$E$46</f>
        <v>#REF!</v>
      </c>
      <c r="F40" s="356" t="e">
        <f>Mercado!#REF!*'Custo M.O'!$F$46</f>
        <v>#REF!</v>
      </c>
      <c r="G40" s="356" t="e">
        <f>Mercado!#REF!*'Custo M.O'!$G$46</f>
        <v>#REF!</v>
      </c>
      <c r="H40" s="356" t="e">
        <f>Mercado!#REF!*'Custo M.O'!$H$46</f>
        <v>#REF!</v>
      </c>
      <c r="I40" s="7" t="e">
        <f t="shared" si="6"/>
        <v>#REF!</v>
      </c>
      <c r="J40" s="7" t="e">
        <f t="shared" si="7"/>
        <v>#REF!</v>
      </c>
      <c r="K40" s="7" t="e">
        <f t="shared" si="8"/>
        <v>#REF!</v>
      </c>
    </row>
    <row r="41" spans="1:27">
      <c r="A41" s="529"/>
      <c r="B41" s="348" t="s">
        <v>11</v>
      </c>
      <c r="C41" s="356" t="e">
        <f>Mercado!#REF!*'Custo M.O'!$C$46</f>
        <v>#REF!</v>
      </c>
      <c r="D41" s="356" t="e">
        <f>Mercado!#REF!*'Custo M.O'!$D$46</f>
        <v>#REF!</v>
      </c>
      <c r="E41" s="356" t="e">
        <f>Mercado!#REF!*'Custo M.O'!$E$46</f>
        <v>#REF!</v>
      </c>
      <c r="F41" s="356" t="e">
        <f>Mercado!#REF!*'Custo M.O'!$F$46</f>
        <v>#REF!</v>
      </c>
      <c r="G41" s="356" t="e">
        <f>Mercado!#REF!*'Custo M.O'!$G$46</f>
        <v>#REF!</v>
      </c>
      <c r="H41" s="356" t="e">
        <f>Mercado!#REF!*'Custo M.O'!$H$46</f>
        <v>#REF!</v>
      </c>
      <c r="I41" s="7" t="e">
        <f t="shared" si="6"/>
        <v>#REF!</v>
      </c>
      <c r="J41" s="7" t="e">
        <f t="shared" si="7"/>
        <v>#REF!</v>
      </c>
      <c r="K41" s="7" t="e">
        <f t="shared" si="8"/>
        <v>#REF!</v>
      </c>
    </row>
    <row r="42" spans="1:27">
      <c r="A42" s="529"/>
      <c r="B42" s="348" t="s">
        <v>12</v>
      </c>
      <c r="C42" s="356" t="e">
        <f>Mercado!#REF!*'Custo M.O'!$C$46</f>
        <v>#REF!</v>
      </c>
      <c r="D42" s="356" t="e">
        <f t="shared" ref="D42" si="9">ROUND(D19*$E$2+D19,0)</f>
        <v>#REF!</v>
      </c>
      <c r="E42" s="356" t="e">
        <f t="shared" ref="E42:H42" si="10">ROUND(E19*$E$2+E19,0)</f>
        <v>#REF!</v>
      </c>
      <c r="F42" s="356" t="e">
        <f t="shared" si="10"/>
        <v>#REF!</v>
      </c>
      <c r="G42" s="356" t="e">
        <f t="shared" si="10"/>
        <v>#REF!</v>
      </c>
      <c r="H42" s="356" t="e">
        <f t="shared" si="10"/>
        <v>#REF!</v>
      </c>
      <c r="I42" s="7" t="e">
        <f t="shared" si="6"/>
        <v>#REF!</v>
      </c>
      <c r="J42" s="7" t="e">
        <f t="shared" si="7"/>
        <v>#REF!</v>
      </c>
      <c r="K42" s="7" t="e">
        <f t="shared" si="8"/>
        <v>#REF!</v>
      </c>
    </row>
    <row r="43" spans="1:27">
      <c r="A43" s="529"/>
      <c r="B43" s="349" t="s">
        <v>401</v>
      </c>
      <c r="C43" s="350" t="e">
        <f>SUM(C31:C42)</f>
        <v>#REF!</v>
      </c>
      <c r="D43" s="350" t="e">
        <f>SUM(D31:D42)</f>
        <v>#REF!</v>
      </c>
      <c r="E43" s="350" t="e">
        <f t="shared" ref="E43:G43" si="11">SUM(E31:E42)</f>
        <v>#REF!</v>
      </c>
      <c r="F43" s="350" t="e">
        <f t="shared" si="11"/>
        <v>#REF!</v>
      </c>
      <c r="G43" s="350" t="e">
        <f t="shared" si="11"/>
        <v>#REF!</v>
      </c>
      <c r="H43" s="350" t="e">
        <f t="shared" ref="H43" si="12">H20*$E$2+H20</f>
        <v>#REF!</v>
      </c>
      <c r="I43" s="357" t="e">
        <f>SUM(I31:I42)</f>
        <v>#REF!</v>
      </c>
      <c r="J43" s="362" t="e">
        <f>SUM(J31:J42)</f>
        <v>#REF!</v>
      </c>
      <c r="K43" s="362" t="e">
        <f>SUM(K31:K42)</f>
        <v>#REF!</v>
      </c>
    </row>
    <row r="44" spans="1:27" ht="14.45" hidden="1" customHeight="1">
      <c r="A44" s="529"/>
      <c r="B44" s="351" t="s">
        <v>313</v>
      </c>
      <c r="C44" s="352">
        <f>C45-C46</f>
        <v>-3198.4941999999992</v>
      </c>
      <c r="D44" s="352">
        <f t="shared" ref="D44:H44" si="13">D45-D46</f>
        <v>-3424.0156499999975</v>
      </c>
      <c r="E44" s="352">
        <f t="shared" si="13"/>
        <v>-7475.9195499999987</v>
      </c>
      <c r="F44" s="352">
        <f t="shared" si="13"/>
        <v>-8662.7155999999959</v>
      </c>
      <c r="G44" s="352">
        <f t="shared" si="13"/>
        <v>-5705.3342499999999</v>
      </c>
      <c r="H44" s="352">
        <f t="shared" si="13"/>
        <v>-10265.264899999995</v>
      </c>
    </row>
    <row r="45" spans="1:27" ht="14.45" hidden="1" customHeight="1">
      <c r="A45" s="529"/>
      <c r="B45" s="346" t="s">
        <v>95</v>
      </c>
      <c r="C45" s="353">
        <f t="shared" ref="C45:H48" si="14">C22*$C$2+C22</f>
        <v>13377.672</v>
      </c>
      <c r="D45" s="353">
        <f t="shared" si="14"/>
        <v>14909.38075</v>
      </c>
      <c r="E45" s="353">
        <f t="shared" si="14"/>
        <v>21613.66185</v>
      </c>
      <c r="F45" s="353">
        <f t="shared" si="14"/>
        <v>26706.709699999999</v>
      </c>
      <c r="G45" s="353">
        <f t="shared" si="14"/>
        <v>34530.144</v>
      </c>
      <c r="H45" s="353">
        <f t="shared" si="14"/>
        <v>59602.943950000001</v>
      </c>
    </row>
    <row r="46" spans="1:27">
      <c r="A46" s="530"/>
      <c r="B46" s="346" t="s">
        <v>18</v>
      </c>
      <c r="C46" s="353">
        <f t="shared" si="14"/>
        <v>16576.1662</v>
      </c>
      <c r="D46" s="353">
        <f t="shared" si="14"/>
        <v>18333.396399999998</v>
      </c>
      <c r="E46" s="353">
        <f t="shared" si="14"/>
        <v>29089.581399999999</v>
      </c>
      <c r="F46" s="353">
        <f t="shared" si="14"/>
        <v>35369.425299999995</v>
      </c>
      <c r="G46" s="353">
        <f t="shared" si="14"/>
        <v>40235.47825</v>
      </c>
      <c r="H46" s="353">
        <f t="shared" si="14"/>
        <v>69868.208849999995</v>
      </c>
    </row>
    <row r="47" spans="1:27">
      <c r="B47" s="354" t="s">
        <v>194</v>
      </c>
      <c r="C47" s="355">
        <f t="shared" si="14"/>
        <v>3802.3161</v>
      </c>
      <c r="D47" s="355">
        <f t="shared" si="14"/>
        <v>4493.6463000000003</v>
      </c>
      <c r="E47" s="355">
        <f t="shared" si="14"/>
        <v>7161.5313000000006</v>
      </c>
      <c r="F47" s="355">
        <f t="shared" si="14"/>
        <v>8038.4535000000005</v>
      </c>
      <c r="G47" s="355">
        <f t="shared" si="14"/>
        <v>8166.0479999999998</v>
      </c>
      <c r="H47" s="355">
        <f t="shared" si="14"/>
        <v>11735.214150000002</v>
      </c>
    </row>
    <row r="48" spans="1:27">
      <c r="B48" s="354" t="s">
        <v>195</v>
      </c>
      <c r="C48" s="355">
        <f t="shared" si="14"/>
        <v>12773.850100000001</v>
      </c>
      <c r="D48" s="355">
        <f t="shared" si="14"/>
        <v>13839.750099999999</v>
      </c>
      <c r="E48" s="355">
        <f t="shared" si="14"/>
        <v>21928.0501</v>
      </c>
      <c r="F48" s="355">
        <f t="shared" si="14"/>
        <v>27330.971799999996</v>
      </c>
      <c r="G48" s="355">
        <f t="shared" si="14"/>
        <v>32069.430249999998</v>
      </c>
      <c r="H48" s="355">
        <f t="shared" si="14"/>
        <v>58132.994699999996</v>
      </c>
      <c r="T48" s="26">
        <v>2019</v>
      </c>
      <c r="U48" s="8" t="s">
        <v>35</v>
      </c>
      <c r="V48" s="8" t="s">
        <v>36</v>
      </c>
      <c r="W48" s="8" t="s">
        <v>37</v>
      </c>
      <c r="X48" s="8" t="s">
        <v>38</v>
      </c>
      <c r="Y48" s="8"/>
      <c r="Z48" s="8" t="s">
        <v>39</v>
      </c>
      <c r="AA48" s="26" t="s">
        <v>17</v>
      </c>
    </row>
    <row r="49" spans="1:27">
      <c r="T49" s="26" t="s">
        <v>30</v>
      </c>
      <c r="U49" s="9">
        <f>SUM(C50:C52)</f>
        <v>0</v>
      </c>
      <c r="V49" s="9">
        <f>SUM(E50:E52)</f>
        <v>0</v>
      </c>
      <c r="W49" s="9">
        <f>SUM(F50:F52)</f>
        <v>0</v>
      </c>
      <c r="X49" s="9" t="e">
        <f>SUM(#REF!)</f>
        <v>#REF!</v>
      </c>
      <c r="Y49" s="9"/>
      <c r="Z49" s="9" t="e">
        <f>SUM(#REF!)</f>
        <v>#REF!</v>
      </c>
      <c r="AA49" s="10" t="e">
        <f>SUM(#REF!)</f>
        <v>#REF!</v>
      </c>
    </row>
    <row r="50" spans="1:27">
      <c r="T50" s="26" t="s">
        <v>31</v>
      </c>
      <c r="U50" s="9" t="e">
        <f>SUM(C53:C55)</f>
        <v>#REF!</v>
      </c>
      <c r="V50" s="9" t="e">
        <f>SUM(E53:E55)</f>
        <v>#REF!</v>
      </c>
      <c r="W50" s="9" t="e">
        <f>SUM(F53:F55)</f>
        <v>#REF!</v>
      </c>
      <c r="X50" s="9" t="e">
        <f>SUM(#REF!)</f>
        <v>#REF!</v>
      </c>
      <c r="Y50" s="9"/>
      <c r="Z50" s="9" t="e">
        <f>SUM(#REF!)</f>
        <v>#REF!</v>
      </c>
      <c r="AA50" s="10" t="e">
        <f>SUM(#REF!)</f>
        <v>#REF!</v>
      </c>
    </row>
    <row r="51" spans="1:27">
      <c r="J51" s="359"/>
      <c r="K51" s="359"/>
      <c r="T51" s="26" t="s">
        <v>32</v>
      </c>
      <c r="U51" s="9" t="e">
        <f>SUM(C56:C58)</f>
        <v>#REF!</v>
      </c>
      <c r="V51" s="9" t="e">
        <f>SUM(E56:E58)</f>
        <v>#REF!</v>
      </c>
      <c r="W51" s="9" t="e">
        <f>SUM(F56:F58)</f>
        <v>#REF!</v>
      </c>
      <c r="X51" s="9" t="e">
        <f>SUM(#REF!)</f>
        <v>#REF!</v>
      </c>
      <c r="Y51" s="9"/>
      <c r="Z51" s="9" t="e">
        <f>SUM(#REF!)</f>
        <v>#REF!</v>
      </c>
      <c r="AA51" s="10" t="e">
        <f>SUM(#REF!)</f>
        <v>#REF!</v>
      </c>
    </row>
    <row r="52" spans="1:27">
      <c r="B52" s="325" t="s">
        <v>393</v>
      </c>
      <c r="C52" s="506" t="s">
        <v>389</v>
      </c>
      <c r="D52" s="506"/>
      <c r="E52" s="325" t="s">
        <v>394</v>
      </c>
      <c r="F52" s="506" t="s">
        <v>390</v>
      </c>
      <c r="G52" s="506"/>
      <c r="H52" s="326" t="s">
        <v>395</v>
      </c>
      <c r="I52" s="339" t="s">
        <v>400</v>
      </c>
      <c r="J52" s="339" t="s">
        <v>400</v>
      </c>
      <c r="K52" s="339" t="s">
        <v>400</v>
      </c>
      <c r="T52" s="26" t="s">
        <v>33</v>
      </c>
      <c r="U52" s="9" t="e">
        <f>SUM(C59:C61)</f>
        <v>#REF!</v>
      </c>
      <c r="V52" s="9" t="e">
        <f>SUM(E59:E61)</f>
        <v>#REF!</v>
      </c>
      <c r="W52" s="9" t="e">
        <f>SUM(F59:F61)</f>
        <v>#REF!</v>
      </c>
      <c r="X52" s="9" t="e">
        <f>SUM(#REF!)</f>
        <v>#REF!</v>
      </c>
      <c r="Y52" s="9"/>
      <c r="Z52" s="9" t="e">
        <f>SUM(#REF!)</f>
        <v>#REF!</v>
      </c>
      <c r="AA52" s="10" t="e">
        <f>SUM(#REF!)</f>
        <v>#REF!</v>
      </c>
    </row>
    <row r="53" spans="1:27">
      <c r="A53" s="528" t="s">
        <v>28</v>
      </c>
      <c r="B53" s="325" t="s">
        <v>0</v>
      </c>
      <c r="C53" s="325" t="s">
        <v>152</v>
      </c>
      <c r="D53" s="325" t="s">
        <v>121</v>
      </c>
      <c r="E53" s="325" t="s">
        <v>125</v>
      </c>
      <c r="F53" s="325" t="s">
        <v>131</v>
      </c>
      <c r="G53" s="325" t="s">
        <v>135</v>
      </c>
      <c r="H53" s="326" t="s">
        <v>145</v>
      </c>
      <c r="I53" s="339" t="s">
        <v>403</v>
      </c>
      <c r="J53" s="339" t="s">
        <v>402</v>
      </c>
      <c r="K53" s="339" t="s">
        <v>404</v>
      </c>
      <c r="T53" s="26" t="s">
        <v>21</v>
      </c>
      <c r="U53" s="10" t="e">
        <f>C64</f>
        <v>#REF!</v>
      </c>
      <c r="V53" s="10" t="e">
        <f>E64</f>
        <v>#REF!</v>
      </c>
      <c r="W53" s="10" t="e">
        <f>F64</f>
        <v>#REF!</v>
      </c>
      <c r="X53" s="10" t="e">
        <f>H64</f>
        <v>#REF!</v>
      </c>
      <c r="Y53" s="10"/>
      <c r="Z53" s="10" t="e">
        <f>#REF!</f>
        <v>#REF!</v>
      </c>
      <c r="AA53" s="10" t="e">
        <f>SUM(AA49:AA52)</f>
        <v>#REF!</v>
      </c>
    </row>
    <row r="54" spans="1:27">
      <c r="A54" s="529"/>
      <c r="B54" s="336" t="s">
        <v>1</v>
      </c>
      <c r="C54" s="341" t="e">
        <f>Mercado!#REF!*'Custo M.O'!$C$69</f>
        <v>#REF!</v>
      </c>
      <c r="D54" s="341" t="e">
        <f>Mercado!#REF!*'Custo M.O'!$D$69</f>
        <v>#REF!</v>
      </c>
      <c r="E54" s="341" t="e">
        <f>Mercado!#REF!*'Custo M.O'!$E$69</f>
        <v>#REF!</v>
      </c>
      <c r="F54" s="341" t="e">
        <f>Mercado!#REF!*'Custo M.O'!$F$69</f>
        <v>#REF!</v>
      </c>
      <c r="G54" s="341" t="e">
        <f>Mercado!#REF!*'Custo M.O'!$G$69</f>
        <v>#REF!</v>
      </c>
      <c r="H54" s="341" t="e">
        <f>Mercado!#REF!*'Custo M.O'!$H$69</f>
        <v>#REF!</v>
      </c>
      <c r="I54" s="7" t="e">
        <f>SUM(C54:H54)</f>
        <v>#REF!</v>
      </c>
      <c r="J54" s="7" t="e">
        <f>I54*$J$5/100</f>
        <v>#REF!</v>
      </c>
      <c r="K54" s="7" t="e">
        <f>I54*$K$5/100</f>
        <v>#REF!</v>
      </c>
    </row>
    <row r="55" spans="1:27">
      <c r="A55" s="529"/>
      <c r="B55" s="336" t="s">
        <v>2</v>
      </c>
      <c r="C55" s="341" t="e">
        <f>Mercado!#REF!*'Custo M.O'!$C$69</f>
        <v>#REF!</v>
      </c>
      <c r="D55" s="341" t="e">
        <f>Mercado!#REF!*'Custo M.O'!$D$69</f>
        <v>#REF!</v>
      </c>
      <c r="E55" s="341" t="e">
        <f>Mercado!#REF!*'Custo M.O'!$E$69</f>
        <v>#REF!</v>
      </c>
      <c r="F55" s="341" t="e">
        <f>Mercado!#REF!*'Custo M.O'!$F$69</f>
        <v>#REF!</v>
      </c>
      <c r="G55" s="341" t="e">
        <f>Mercado!#REF!*'Custo M.O'!$G$69</f>
        <v>#REF!</v>
      </c>
      <c r="H55" s="341" t="e">
        <f>Mercado!#REF!*'Custo M.O'!$H$69</f>
        <v>#REF!</v>
      </c>
      <c r="I55" s="7" t="e">
        <f t="shared" ref="I55:I65" si="15">SUM(C55:H55)</f>
        <v>#REF!</v>
      </c>
      <c r="J55" s="7" t="e">
        <f t="shared" ref="J55:J65" si="16">I55*$J$5/100</f>
        <v>#REF!</v>
      </c>
      <c r="K55" s="7" t="e">
        <f t="shared" ref="K55:K65" si="17">I55*$K$5/100</f>
        <v>#REF!</v>
      </c>
    </row>
    <row r="56" spans="1:27">
      <c r="A56" s="529"/>
      <c r="B56" s="336" t="s">
        <v>3</v>
      </c>
      <c r="C56" s="341" t="e">
        <f>Mercado!#REF!*'Custo M.O'!$C$69</f>
        <v>#REF!</v>
      </c>
      <c r="D56" s="341" t="e">
        <f>Mercado!#REF!*'Custo M.O'!$D$69</f>
        <v>#REF!</v>
      </c>
      <c r="E56" s="341" t="e">
        <f>Mercado!#REF!*'Custo M.O'!$E$69</f>
        <v>#REF!</v>
      </c>
      <c r="F56" s="341" t="e">
        <f>Mercado!#REF!*'Custo M.O'!$F$69</f>
        <v>#REF!</v>
      </c>
      <c r="G56" s="341" t="e">
        <f>Mercado!#REF!*'Custo M.O'!$G$69</f>
        <v>#REF!</v>
      </c>
      <c r="H56" s="341" t="e">
        <f>Mercado!#REF!*'Custo M.O'!$H$69</f>
        <v>#REF!</v>
      </c>
      <c r="I56" s="7" t="e">
        <f t="shared" si="15"/>
        <v>#REF!</v>
      </c>
      <c r="J56" s="7" t="e">
        <f t="shared" si="16"/>
        <v>#REF!</v>
      </c>
      <c r="K56" s="7" t="e">
        <f t="shared" si="17"/>
        <v>#REF!</v>
      </c>
    </row>
    <row r="57" spans="1:27">
      <c r="A57" s="529"/>
      <c r="B57" s="336" t="s">
        <v>4</v>
      </c>
      <c r="C57" s="341" t="e">
        <f>Mercado!#REF!*'Custo M.O'!$C$69</f>
        <v>#REF!</v>
      </c>
      <c r="D57" s="341" t="e">
        <f>Mercado!#REF!*'Custo M.O'!$D$69</f>
        <v>#REF!</v>
      </c>
      <c r="E57" s="341" t="e">
        <f>Mercado!#REF!*'Custo M.O'!$E$69</f>
        <v>#REF!</v>
      </c>
      <c r="F57" s="341" t="e">
        <f>Mercado!#REF!*'Custo M.O'!$F$69</f>
        <v>#REF!</v>
      </c>
      <c r="G57" s="341" t="e">
        <f>Mercado!#REF!*'Custo M.O'!$G$69</f>
        <v>#REF!</v>
      </c>
      <c r="H57" s="341" t="e">
        <f>Mercado!#REF!*'Custo M.O'!$H$69</f>
        <v>#REF!</v>
      </c>
      <c r="I57" s="7" t="e">
        <f t="shared" si="15"/>
        <v>#REF!</v>
      </c>
      <c r="J57" s="7" t="e">
        <f t="shared" si="16"/>
        <v>#REF!</v>
      </c>
      <c r="K57" s="7" t="e">
        <f t="shared" si="17"/>
        <v>#REF!</v>
      </c>
    </row>
    <row r="58" spans="1:27">
      <c r="A58" s="529"/>
      <c r="B58" s="336" t="s">
        <v>5</v>
      </c>
      <c r="C58" s="341" t="e">
        <f>Mercado!#REF!*'Custo M.O'!$C$69</f>
        <v>#REF!</v>
      </c>
      <c r="D58" s="341" t="e">
        <f>Mercado!#REF!*'Custo M.O'!$D$69</f>
        <v>#REF!</v>
      </c>
      <c r="E58" s="341" t="e">
        <f>Mercado!#REF!*'Custo M.O'!$E$69</f>
        <v>#REF!</v>
      </c>
      <c r="F58" s="341" t="e">
        <f>Mercado!#REF!*'Custo M.O'!$F$69</f>
        <v>#REF!</v>
      </c>
      <c r="G58" s="341" t="e">
        <f>Mercado!#REF!*'Custo M.O'!$G$69</f>
        <v>#REF!</v>
      </c>
      <c r="H58" s="341" t="e">
        <f>Mercado!#REF!*'Custo M.O'!$H$69</f>
        <v>#REF!</v>
      </c>
      <c r="I58" s="7" t="e">
        <f t="shared" si="15"/>
        <v>#REF!</v>
      </c>
      <c r="J58" s="7" t="e">
        <f t="shared" si="16"/>
        <v>#REF!</v>
      </c>
      <c r="K58" s="7" t="e">
        <f t="shared" si="17"/>
        <v>#REF!</v>
      </c>
    </row>
    <row r="59" spans="1:27">
      <c r="A59" s="529"/>
      <c r="B59" s="336" t="s">
        <v>6</v>
      </c>
      <c r="C59" s="341" t="e">
        <f>Mercado!#REF!*'Custo M.O'!$C$69</f>
        <v>#REF!</v>
      </c>
      <c r="D59" s="341" t="e">
        <f>Mercado!#REF!*'Custo M.O'!$D$69</f>
        <v>#REF!</v>
      </c>
      <c r="E59" s="341" t="e">
        <f>Mercado!#REF!*'Custo M.O'!$E$69</f>
        <v>#REF!</v>
      </c>
      <c r="F59" s="341" t="e">
        <f>Mercado!#REF!*'Custo M.O'!$F$69</f>
        <v>#REF!</v>
      </c>
      <c r="G59" s="341" t="e">
        <f>Mercado!#REF!*'Custo M.O'!$G$69</f>
        <v>#REF!</v>
      </c>
      <c r="H59" s="341" t="e">
        <f>Mercado!#REF!*'Custo M.O'!$H$69</f>
        <v>#REF!</v>
      </c>
      <c r="I59" s="7" t="e">
        <f t="shared" si="15"/>
        <v>#REF!</v>
      </c>
      <c r="J59" s="7" t="e">
        <f t="shared" si="16"/>
        <v>#REF!</v>
      </c>
      <c r="K59" s="7" t="e">
        <f t="shared" si="17"/>
        <v>#REF!</v>
      </c>
    </row>
    <row r="60" spans="1:27">
      <c r="A60" s="529"/>
      <c r="B60" s="336" t="s">
        <v>7</v>
      </c>
      <c r="C60" s="341" t="e">
        <f>Mercado!#REF!*'Custo M.O'!$C$69</f>
        <v>#REF!</v>
      </c>
      <c r="D60" s="341" t="e">
        <f>Mercado!#REF!*'Custo M.O'!$D$69</f>
        <v>#REF!</v>
      </c>
      <c r="E60" s="341" t="e">
        <f>Mercado!#REF!*'Custo M.O'!$E$69</f>
        <v>#REF!</v>
      </c>
      <c r="F60" s="341" t="e">
        <f>Mercado!#REF!*'Custo M.O'!$F$69</f>
        <v>#REF!</v>
      </c>
      <c r="G60" s="341" t="e">
        <f>Mercado!#REF!*'Custo M.O'!$G$69</f>
        <v>#REF!</v>
      </c>
      <c r="H60" s="341" t="e">
        <f>Mercado!#REF!*'Custo M.O'!$H$69</f>
        <v>#REF!</v>
      </c>
      <c r="I60" s="7" t="e">
        <f t="shared" si="15"/>
        <v>#REF!</v>
      </c>
      <c r="J60" s="7" t="e">
        <f t="shared" si="16"/>
        <v>#REF!</v>
      </c>
      <c r="K60" s="7" t="e">
        <f t="shared" si="17"/>
        <v>#REF!</v>
      </c>
    </row>
    <row r="61" spans="1:27">
      <c r="A61" s="529"/>
      <c r="B61" s="336" t="s">
        <v>8</v>
      </c>
      <c r="C61" s="341" t="e">
        <f>Mercado!#REF!*'Custo M.O'!$C$69</f>
        <v>#REF!</v>
      </c>
      <c r="D61" s="341" t="e">
        <f>Mercado!#REF!*'Custo M.O'!$D$69</f>
        <v>#REF!</v>
      </c>
      <c r="E61" s="341" t="e">
        <f>Mercado!#REF!*'Custo M.O'!$E$69</f>
        <v>#REF!</v>
      </c>
      <c r="F61" s="341" t="e">
        <f>Mercado!#REF!*'Custo M.O'!$F$69</f>
        <v>#REF!</v>
      </c>
      <c r="G61" s="341" t="e">
        <f>Mercado!#REF!*'Custo M.O'!$G$69</f>
        <v>#REF!</v>
      </c>
      <c r="H61" s="341" t="e">
        <f>Mercado!#REF!*'Custo M.O'!$H$69</f>
        <v>#REF!</v>
      </c>
      <c r="I61" s="7" t="e">
        <f t="shared" si="15"/>
        <v>#REF!</v>
      </c>
      <c r="J61" s="7" t="e">
        <f t="shared" si="16"/>
        <v>#REF!</v>
      </c>
      <c r="K61" s="7" t="e">
        <f t="shared" si="17"/>
        <v>#REF!</v>
      </c>
    </row>
    <row r="62" spans="1:27">
      <c r="A62" s="529"/>
      <c r="B62" s="336" t="s">
        <v>9</v>
      </c>
      <c r="C62" s="341" t="e">
        <f>Mercado!#REF!*'Custo M.O'!$C$69</f>
        <v>#REF!</v>
      </c>
      <c r="D62" s="341" t="e">
        <f>Mercado!#REF!*'Custo M.O'!$D$69</f>
        <v>#REF!</v>
      </c>
      <c r="E62" s="341" t="e">
        <f>Mercado!#REF!*'Custo M.O'!$E$69</f>
        <v>#REF!</v>
      </c>
      <c r="F62" s="341" t="e">
        <f>Mercado!#REF!*'Custo M.O'!$F$69</f>
        <v>#REF!</v>
      </c>
      <c r="G62" s="341" t="e">
        <f>Mercado!#REF!*'Custo M.O'!$G$69</f>
        <v>#REF!</v>
      </c>
      <c r="H62" s="341" t="e">
        <f>Mercado!#REF!*'Custo M.O'!$H$69</f>
        <v>#REF!</v>
      </c>
      <c r="I62" s="7" t="e">
        <f t="shared" si="15"/>
        <v>#REF!</v>
      </c>
      <c r="J62" s="7" t="e">
        <f t="shared" si="16"/>
        <v>#REF!</v>
      </c>
      <c r="K62" s="7" t="e">
        <f t="shared" si="17"/>
        <v>#REF!</v>
      </c>
    </row>
    <row r="63" spans="1:27">
      <c r="A63" s="529"/>
      <c r="B63" s="336" t="s">
        <v>10</v>
      </c>
      <c r="C63" s="341" t="e">
        <f>Mercado!#REF!*'Custo M.O'!$C$69</f>
        <v>#REF!</v>
      </c>
      <c r="D63" s="341" t="e">
        <f>Mercado!#REF!*'Custo M.O'!$D$69</f>
        <v>#REF!</v>
      </c>
      <c r="E63" s="341" t="e">
        <f>Mercado!#REF!*'Custo M.O'!$E$69</f>
        <v>#REF!</v>
      </c>
      <c r="F63" s="341" t="e">
        <f>Mercado!#REF!*'Custo M.O'!$F$69</f>
        <v>#REF!</v>
      </c>
      <c r="G63" s="341" t="e">
        <f>Mercado!#REF!*'Custo M.O'!$G$69</f>
        <v>#REF!</v>
      </c>
      <c r="H63" s="341" t="e">
        <f>Mercado!#REF!*'Custo M.O'!$H$69</f>
        <v>#REF!</v>
      </c>
      <c r="I63" s="7" t="e">
        <f t="shared" si="15"/>
        <v>#REF!</v>
      </c>
      <c r="J63" s="7" t="e">
        <f t="shared" si="16"/>
        <v>#REF!</v>
      </c>
      <c r="K63" s="7" t="e">
        <f t="shared" si="17"/>
        <v>#REF!</v>
      </c>
    </row>
    <row r="64" spans="1:27">
      <c r="A64" s="529"/>
      <c r="B64" s="336" t="s">
        <v>11</v>
      </c>
      <c r="C64" s="341" t="e">
        <f>Mercado!#REF!*'Custo M.O'!$C$69</f>
        <v>#REF!</v>
      </c>
      <c r="D64" s="341" t="e">
        <f>Mercado!#REF!*'Custo M.O'!$D$69</f>
        <v>#REF!</v>
      </c>
      <c r="E64" s="341" t="e">
        <f>Mercado!#REF!*'Custo M.O'!$E$69</f>
        <v>#REF!</v>
      </c>
      <c r="F64" s="341" t="e">
        <f>Mercado!#REF!*'Custo M.O'!$F$69</f>
        <v>#REF!</v>
      </c>
      <c r="G64" s="341" t="e">
        <f>Mercado!#REF!*'Custo M.O'!$G$69</f>
        <v>#REF!</v>
      </c>
      <c r="H64" s="341" t="e">
        <f>Mercado!#REF!*'Custo M.O'!$H$69</f>
        <v>#REF!</v>
      </c>
      <c r="I64" s="7" t="e">
        <f t="shared" si="15"/>
        <v>#REF!</v>
      </c>
      <c r="J64" s="7" t="e">
        <f t="shared" si="16"/>
        <v>#REF!</v>
      </c>
      <c r="K64" s="7" t="e">
        <f t="shared" si="17"/>
        <v>#REF!</v>
      </c>
    </row>
    <row r="65" spans="1:11">
      <c r="A65" s="529"/>
      <c r="B65" s="336" t="s">
        <v>12</v>
      </c>
      <c r="C65" s="341" t="e">
        <f>Mercado!#REF!*'Custo M.O'!$C$69</f>
        <v>#REF!</v>
      </c>
      <c r="D65" s="341" t="e">
        <f>Mercado!#REF!*'Custo M.O'!$D$69</f>
        <v>#REF!</v>
      </c>
      <c r="E65" s="341" t="e">
        <f>Mercado!#REF!*'Custo M.O'!$E$69</f>
        <v>#REF!</v>
      </c>
      <c r="F65" s="341" t="e">
        <f>Mercado!#REF!*'Custo M.O'!$F$69</f>
        <v>#REF!</v>
      </c>
      <c r="G65" s="341" t="e">
        <f>Mercado!#REF!*'Custo M.O'!$G$69</f>
        <v>#REF!</v>
      </c>
      <c r="H65" s="341" t="e">
        <f>Mercado!#REF!*'Custo M.O'!$H$69</f>
        <v>#REF!</v>
      </c>
      <c r="I65" s="7" t="e">
        <f t="shared" si="15"/>
        <v>#REF!</v>
      </c>
      <c r="J65" s="7" t="e">
        <f t="shared" si="16"/>
        <v>#REF!</v>
      </c>
      <c r="K65" s="7" t="e">
        <f t="shared" si="17"/>
        <v>#REF!</v>
      </c>
    </row>
    <row r="66" spans="1:11">
      <c r="A66" s="529"/>
      <c r="B66" s="345" t="s">
        <v>401</v>
      </c>
      <c r="C66" s="344" t="e">
        <f>SUM(C54:C65)</f>
        <v>#REF!</v>
      </c>
      <c r="D66" s="344" t="e">
        <f t="shared" ref="D66:H66" si="18">SUM(D54:D65)</f>
        <v>#REF!</v>
      </c>
      <c r="E66" s="344" t="e">
        <f t="shared" si="18"/>
        <v>#REF!</v>
      </c>
      <c r="F66" s="344" t="e">
        <f t="shared" si="18"/>
        <v>#REF!</v>
      </c>
      <c r="G66" s="344" t="e">
        <f t="shared" si="18"/>
        <v>#REF!</v>
      </c>
      <c r="H66" s="344" t="e">
        <f t="shared" si="18"/>
        <v>#REF!</v>
      </c>
      <c r="I66" s="363" t="e">
        <f>SUM(I54:I65)</f>
        <v>#REF!</v>
      </c>
      <c r="J66" s="362" t="e">
        <f>SUM(J54:J65)</f>
        <v>#REF!</v>
      </c>
      <c r="K66" s="362" t="e">
        <f>SUM(K54:K65)</f>
        <v>#REF!</v>
      </c>
    </row>
    <row r="67" spans="1:11" hidden="1">
      <c r="A67" s="529"/>
      <c r="B67" s="329" t="s">
        <v>313</v>
      </c>
      <c r="C67" s="330">
        <f>C68-C69</f>
        <v>-3342.4264389999971</v>
      </c>
      <c r="D67" s="330">
        <f t="shared" ref="D67:H67" si="19">D68-D69</f>
        <v>-3578.0963542499976</v>
      </c>
      <c r="E67" s="330">
        <f t="shared" si="19"/>
        <v>-7812.3359297499992</v>
      </c>
      <c r="F67" s="330">
        <f t="shared" si="19"/>
        <v>-9052.5378019999989</v>
      </c>
      <c r="G67" s="330">
        <f t="shared" si="19"/>
        <v>-5962.0742912499991</v>
      </c>
      <c r="H67" s="330">
        <f t="shared" si="19"/>
        <v>-10727.201820499991</v>
      </c>
    </row>
    <row r="68" spans="1:11" hidden="1">
      <c r="A68" s="529"/>
      <c r="B68" s="325" t="s">
        <v>95</v>
      </c>
      <c r="C68" s="332">
        <f>C45*$C$2+C45</f>
        <v>13979.667240000001</v>
      </c>
      <c r="D68" s="332">
        <f t="shared" ref="D68:H71" si="20">D45*$C$2+D45</f>
        <v>15580.302883750001</v>
      </c>
      <c r="E68" s="332">
        <f t="shared" si="20"/>
        <v>22586.27663325</v>
      </c>
      <c r="F68" s="332">
        <f t="shared" si="20"/>
        <v>27908.511636499999</v>
      </c>
      <c r="G68" s="332">
        <f t="shared" si="20"/>
        <v>36084.000480000002</v>
      </c>
      <c r="H68" s="332">
        <f t="shared" si="20"/>
        <v>62285.076427749998</v>
      </c>
    </row>
    <row r="69" spans="1:11">
      <c r="A69" s="530"/>
      <c r="B69" s="325" t="s">
        <v>18</v>
      </c>
      <c r="C69" s="332">
        <f>C46*$C$2+C46</f>
        <v>17322.093678999998</v>
      </c>
      <c r="D69" s="332">
        <f t="shared" si="20"/>
        <v>19158.399237999998</v>
      </c>
      <c r="E69" s="332">
        <f t="shared" si="20"/>
        <v>30398.612562999999</v>
      </c>
      <c r="F69" s="332">
        <f t="shared" si="20"/>
        <v>36961.049438499998</v>
      </c>
      <c r="G69" s="332">
        <f t="shared" si="20"/>
        <v>42046.074771250002</v>
      </c>
      <c r="H69" s="332">
        <f t="shared" si="20"/>
        <v>73012.27824824999</v>
      </c>
    </row>
    <row r="70" spans="1:11">
      <c r="B70" s="333" t="s">
        <v>194</v>
      </c>
      <c r="C70" s="334">
        <f t="shared" ref="C70:C71" si="21">C47*$C$2+C47</f>
        <v>3973.4203244999999</v>
      </c>
      <c r="D70" s="334">
        <f t="shared" si="20"/>
        <v>4695.8603835000004</v>
      </c>
      <c r="E70" s="334">
        <f t="shared" si="20"/>
        <v>7483.8002085000007</v>
      </c>
      <c r="F70" s="334">
        <f t="shared" si="20"/>
        <v>8400.1839075000007</v>
      </c>
      <c r="G70" s="334">
        <f t="shared" si="20"/>
        <v>8533.52016</v>
      </c>
      <c r="H70" s="334">
        <f t="shared" si="20"/>
        <v>12263.298786750001</v>
      </c>
    </row>
    <row r="71" spans="1:11">
      <c r="B71" s="333" t="s">
        <v>195</v>
      </c>
      <c r="C71" s="334">
        <f t="shared" si="21"/>
        <v>13348.673354500002</v>
      </c>
      <c r="D71" s="334">
        <f t="shared" si="20"/>
        <v>14462.538854499999</v>
      </c>
      <c r="E71" s="334">
        <f t="shared" si="20"/>
        <v>22914.812354500002</v>
      </c>
      <c r="F71" s="334">
        <f t="shared" si="20"/>
        <v>28560.865530999996</v>
      </c>
      <c r="G71" s="334">
        <f t="shared" si="20"/>
        <v>33512.554611249994</v>
      </c>
      <c r="H71" s="334">
        <f t="shared" si="20"/>
        <v>60748.979461499999</v>
      </c>
    </row>
    <row r="74" spans="1:11">
      <c r="J74" s="359">
        <f>O76</f>
        <v>0</v>
      </c>
      <c r="K74" s="359">
        <f>O77</f>
        <v>0</v>
      </c>
    </row>
    <row r="75" spans="1:11">
      <c r="B75" s="325" t="s">
        <v>393</v>
      </c>
      <c r="C75" s="506" t="s">
        <v>389</v>
      </c>
      <c r="D75" s="506"/>
      <c r="E75" s="325" t="s">
        <v>394</v>
      </c>
      <c r="F75" s="506" t="s">
        <v>390</v>
      </c>
      <c r="G75" s="506"/>
      <c r="H75" s="326" t="s">
        <v>395</v>
      </c>
      <c r="I75" s="339" t="s">
        <v>400</v>
      </c>
      <c r="J75" s="339" t="s">
        <v>400</v>
      </c>
      <c r="K75" s="339" t="s">
        <v>400</v>
      </c>
    </row>
    <row r="76" spans="1:11">
      <c r="A76" s="533" t="s">
        <v>379</v>
      </c>
      <c r="B76" s="325" t="s">
        <v>0</v>
      </c>
      <c r="C76" s="325" t="s">
        <v>152</v>
      </c>
      <c r="D76" s="325" t="s">
        <v>121</v>
      </c>
      <c r="E76" s="325" t="s">
        <v>125</v>
      </c>
      <c r="F76" s="325" t="s">
        <v>131</v>
      </c>
      <c r="G76" s="325" t="s">
        <v>135</v>
      </c>
      <c r="H76" s="326" t="s">
        <v>145</v>
      </c>
      <c r="I76" s="339" t="s">
        <v>403</v>
      </c>
      <c r="J76" s="339" t="s">
        <v>402</v>
      </c>
      <c r="K76" s="339" t="s">
        <v>404</v>
      </c>
    </row>
    <row r="77" spans="1:11">
      <c r="A77" s="534"/>
      <c r="B77" s="336" t="s">
        <v>1</v>
      </c>
      <c r="C77" s="341" t="e">
        <f>Mercado!#REF!*'Custo M.O'!$C$92</f>
        <v>#REF!</v>
      </c>
      <c r="D77" s="341" t="e">
        <f>Mercado!#REF!*'Custo M.O'!$D$92</f>
        <v>#REF!</v>
      </c>
      <c r="E77" s="341" t="e">
        <f>Mercado!#REF!*'Custo M.O'!$E$92</f>
        <v>#REF!</v>
      </c>
      <c r="F77" s="341" t="e">
        <f>Mercado!#REF!*'Custo M.O'!$F$92</f>
        <v>#REF!</v>
      </c>
      <c r="G77" s="341" t="e">
        <f>Mercado!#REF!*'Custo M.O'!$G$92</f>
        <v>#REF!</v>
      </c>
      <c r="H77" s="341" t="e">
        <f>Mercado!#REF!*'Custo M.O'!$H$92</f>
        <v>#REF!</v>
      </c>
      <c r="I77" s="7" t="e">
        <f>SUM(C77:H77)</f>
        <v>#REF!</v>
      </c>
      <c r="J77" s="7" t="e">
        <f>I77*$J$5/100</f>
        <v>#REF!</v>
      </c>
      <c r="K77" s="7" t="e">
        <f>I77*$K$5/100</f>
        <v>#REF!</v>
      </c>
    </row>
    <row r="78" spans="1:11">
      <c r="A78" s="534"/>
      <c r="B78" s="336" t="s">
        <v>2</v>
      </c>
      <c r="C78" s="341" t="e">
        <f>Mercado!#REF!*'Custo M.O'!$C$92</f>
        <v>#REF!</v>
      </c>
      <c r="D78" s="341" t="e">
        <f>Mercado!#REF!*'Custo M.O'!$D$92</f>
        <v>#REF!</v>
      </c>
      <c r="E78" s="341" t="e">
        <f>Mercado!#REF!*'Custo M.O'!$E$92</f>
        <v>#REF!</v>
      </c>
      <c r="F78" s="341" t="e">
        <f>Mercado!#REF!*'Custo M.O'!$F$92</f>
        <v>#REF!</v>
      </c>
      <c r="G78" s="341" t="e">
        <f>Mercado!#REF!*'Custo M.O'!$G$92</f>
        <v>#REF!</v>
      </c>
      <c r="H78" s="341" t="e">
        <f>Mercado!#REF!*'Custo M.O'!$H$92</f>
        <v>#REF!</v>
      </c>
      <c r="I78" s="7" t="e">
        <f t="shared" ref="I78:I88" si="22">SUM(C78:H78)</f>
        <v>#REF!</v>
      </c>
      <c r="J78" s="7" t="e">
        <f t="shared" ref="J78:J88" si="23">I78*$J$5/100</f>
        <v>#REF!</v>
      </c>
      <c r="K78" s="7" t="e">
        <f t="shared" ref="K78:K88" si="24">I78*$K$5/100</f>
        <v>#REF!</v>
      </c>
    </row>
    <row r="79" spans="1:11">
      <c r="A79" s="534"/>
      <c r="B79" s="336" t="s">
        <v>3</v>
      </c>
      <c r="C79" s="341" t="e">
        <f>Mercado!#REF!*'Custo M.O'!$C$92</f>
        <v>#REF!</v>
      </c>
      <c r="D79" s="341" t="e">
        <f>Mercado!#REF!*'Custo M.O'!$D$92</f>
        <v>#REF!</v>
      </c>
      <c r="E79" s="341" t="e">
        <f>Mercado!#REF!*'Custo M.O'!$E$92</f>
        <v>#REF!</v>
      </c>
      <c r="F79" s="341" t="e">
        <f>Mercado!#REF!*'Custo M.O'!$F$92</f>
        <v>#REF!</v>
      </c>
      <c r="G79" s="341" t="e">
        <f>Mercado!#REF!*'Custo M.O'!$G$92</f>
        <v>#REF!</v>
      </c>
      <c r="H79" s="341" t="e">
        <f>Mercado!#REF!*'Custo M.O'!$H$92</f>
        <v>#REF!</v>
      </c>
      <c r="I79" s="7" t="e">
        <f t="shared" si="22"/>
        <v>#REF!</v>
      </c>
      <c r="J79" s="7" t="e">
        <f t="shared" si="23"/>
        <v>#REF!</v>
      </c>
      <c r="K79" s="7" t="e">
        <f t="shared" si="24"/>
        <v>#REF!</v>
      </c>
    </row>
    <row r="80" spans="1:11">
      <c r="A80" s="534"/>
      <c r="B80" s="336" t="s">
        <v>4</v>
      </c>
      <c r="C80" s="341" t="e">
        <f>Mercado!#REF!*'Custo M.O'!$C$92</f>
        <v>#REF!</v>
      </c>
      <c r="D80" s="341" t="e">
        <f>Mercado!#REF!*'Custo M.O'!$D$92</f>
        <v>#REF!</v>
      </c>
      <c r="E80" s="341" t="e">
        <f>Mercado!#REF!*'Custo M.O'!$E$92</f>
        <v>#REF!</v>
      </c>
      <c r="F80" s="341" t="e">
        <f>Mercado!#REF!*'Custo M.O'!$F$92</f>
        <v>#REF!</v>
      </c>
      <c r="G80" s="341" t="e">
        <f>Mercado!#REF!*'Custo M.O'!$G$92</f>
        <v>#REF!</v>
      </c>
      <c r="H80" s="341" t="e">
        <f>Mercado!#REF!*'Custo M.O'!$H$92</f>
        <v>#REF!</v>
      </c>
      <c r="I80" s="7" t="e">
        <f t="shared" si="22"/>
        <v>#REF!</v>
      </c>
      <c r="J80" s="7" t="e">
        <f t="shared" si="23"/>
        <v>#REF!</v>
      </c>
      <c r="K80" s="7" t="e">
        <f t="shared" si="24"/>
        <v>#REF!</v>
      </c>
    </row>
    <row r="81" spans="1:11">
      <c r="A81" s="534"/>
      <c r="B81" s="336" t="s">
        <v>5</v>
      </c>
      <c r="C81" s="341" t="e">
        <f>Mercado!#REF!*'Custo M.O'!$C$92</f>
        <v>#REF!</v>
      </c>
      <c r="D81" s="341" t="e">
        <f>Mercado!#REF!*'Custo M.O'!$D$92</f>
        <v>#REF!</v>
      </c>
      <c r="E81" s="341" t="e">
        <f>Mercado!#REF!*'Custo M.O'!$E$92</f>
        <v>#REF!</v>
      </c>
      <c r="F81" s="341" t="e">
        <f>Mercado!#REF!*'Custo M.O'!$F$92</f>
        <v>#REF!</v>
      </c>
      <c r="G81" s="341" t="e">
        <f>Mercado!#REF!*'Custo M.O'!$G$92</f>
        <v>#REF!</v>
      </c>
      <c r="H81" s="341" t="e">
        <f>Mercado!#REF!*'Custo M.O'!$H$92</f>
        <v>#REF!</v>
      </c>
      <c r="I81" s="7" t="e">
        <f t="shared" si="22"/>
        <v>#REF!</v>
      </c>
      <c r="J81" s="7" t="e">
        <f t="shared" si="23"/>
        <v>#REF!</v>
      </c>
      <c r="K81" s="7" t="e">
        <f t="shared" si="24"/>
        <v>#REF!</v>
      </c>
    </row>
    <row r="82" spans="1:11">
      <c r="A82" s="534"/>
      <c r="B82" s="336" t="s">
        <v>6</v>
      </c>
      <c r="C82" s="341" t="e">
        <f>Mercado!#REF!*'Custo M.O'!$C$92</f>
        <v>#REF!</v>
      </c>
      <c r="D82" s="341" t="e">
        <f>Mercado!#REF!*'Custo M.O'!$D$92</f>
        <v>#REF!</v>
      </c>
      <c r="E82" s="341" t="e">
        <f>Mercado!#REF!*'Custo M.O'!$E$92</f>
        <v>#REF!</v>
      </c>
      <c r="F82" s="341" t="e">
        <f>Mercado!#REF!*'Custo M.O'!$F$92</f>
        <v>#REF!</v>
      </c>
      <c r="G82" s="341" t="e">
        <f>Mercado!#REF!*'Custo M.O'!$G$92</f>
        <v>#REF!</v>
      </c>
      <c r="H82" s="341" t="e">
        <f>Mercado!#REF!*'Custo M.O'!$H$92</f>
        <v>#REF!</v>
      </c>
      <c r="I82" s="7" t="e">
        <f t="shared" si="22"/>
        <v>#REF!</v>
      </c>
      <c r="J82" s="7" t="e">
        <f t="shared" si="23"/>
        <v>#REF!</v>
      </c>
      <c r="K82" s="7" t="e">
        <f t="shared" si="24"/>
        <v>#REF!</v>
      </c>
    </row>
    <row r="83" spans="1:11">
      <c r="A83" s="534"/>
      <c r="B83" s="336" t="s">
        <v>7</v>
      </c>
      <c r="C83" s="341" t="e">
        <f>Mercado!#REF!*'Custo M.O'!$C$92</f>
        <v>#REF!</v>
      </c>
      <c r="D83" s="341" t="e">
        <f>Mercado!#REF!*'Custo M.O'!$D$92</f>
        <v>#REF!</v>
      </c>
      <c r="E83" s="341" t="e">
        <f>Mercado!#REF!*'Custo M.O'!$E$92</f>
        <v>#REF!</v>
      </c>
      <c r="F83" s="341" t="e">
        <f>Mercado!#REF!*'Custo M.O'!$F$92</f>
        <v>#REF!</v>
      </c>
      <c r="G83" s="341" t="e">
        <f>Mercado!#REF!*'Custo M.O'!$G$92</f>
        <v>#REF!</v>
      </c>
      <c r="H83" s="341" t="e">
        <f>Mercado!#REF!*'Custo M.O'!$H$92</f>
        <v>#REF!</v>
      </c>
      <c r="I83" s="7" t="e">
        <f t="shared" si="22"/>
        <v>#REF!</v>
      </c>
      <c r="J83" s="7" t="e">
        <f t="shared" si="23"/>
        <v>#REF!</v>
      </c>
      <c r="K83" s="7" t="e">
        <f t="shared" si="24"/>
        <v>#REF!</v>
      </c>
    </row>
    <row r="84" spans="1:11">
      <c r="A84" s="534"/>
      <c r="B84" s="336" t="s">
        <v>8</v>
      </c>
      <c r="C84" s="341" t="e">
        <f>Mercado!#REF!*'Custo M.O'!$C$92</f>
        <v>#REF!</v>
      </c>
      <c r="D84" s="341" t="e">
        <f>Mercado!#REF!*'Custo M.O'!$D$92</f>
        <v>#REF!</v>
      </c>
      <c r="E84" s="341" t="e">
        <f>Mercado!#REF!*'Custo M.O'!$E$92</f>
        <v>#REF!</v>
      </c>
      <c r="F84" s="341" t="e">
        <f>Mercado!#REF!*'Custo M.O'!$F$92</f>
        <v>#REF!</v>
      </c>
      <c r="G84" s="341" t="e">
        <f>Mercado!#REF!*'Custo M.O'!$G$92</f>
        <v>#REF!</v>
      </c>
      <c r="H84" s="341" t="e">
        <f>Mercado!#REF!*'Custo M.O'!$H$92</f>
        <v>#REF!</v>
      </c>
      <c r="I84" s="7" t="e">
        <f t="shared" si="22"/>
        <v>#REF!</v>
      </c>
      <c r="J84" s="7" t="e">
        <f t="shared" si="23"/>
        <v>#REF!</v>
      </c>
      <c r="K84" s="7" t="e">
        <f t="shared" si="24"/>
        <v>#REF!</v>
      </c>
    </row>
    <row r="85" spans="1:11">
      <c r="A85" s="534"/>
      <c r="B85" s="336" t="s">
        <v>9</v>
      </c>
      <c r="C85" s="341" t="e">
        <f>Mercado!#REF!*'Custo M.O'!$C$92</f>
        <v>#REF!</v>
      </c>
      <c r="D85" s="341" t="e">
        <f>Mercado!#REF!*'Custo M.O'!$D$92</f>
        <v>#REF!</v>
      </c>
      <c r="E85" s="341" t="e">
        <f>Mercado!#REF!*'Custo M.O'!$E$92</f>
        <v>#REF!</v>
      </c>
      <c r="F85" s="341" t="e">
        <f>Mercado!#REF!*'Custo M.O'!$F$92</f>
        <v>#REF!</v>
      </c>
      <c r="G85" s="341" t="e">
        <f>Mercado!#REF!*'Custo M.O'!$G$92</f>
        <v>#REF!</v>
      </c>
      <c r="H85" s="341" t="e">
        <f>Mercado!#REF!*'Custo M.O'!$H$92</f>
        <v>#REF!</v>
      </c>
      <c r="I85" s="7" t="e">
        <f t="shared" si="22"/>
        <v>#REF!</v>
      </c>
      <c r="J85" s="7" t="e">
        <f t="shared" si="23"/>
        <v>#REF!</v>
      </c>
      <c r="K85" s="7" t="e">
        <f t="shared" si="24"/>
        <v>#REF!</v>
      </c>
    </row>
    <row r="86" spans="1:11">
      <c r="A86" s="534"/>
      <c r="B86" s="336" t="s">
        <v>10</v>
      </c>
      <c r="C86" s="341" t="e">
        <f>Mercado!#REF!*'Custo M.O'!$C$92</f>
        <v>#REF!</v>
      </c>
      <c r="D86" s="341" t="e">
        <f>Mercado!#REF!*'Custo M.O'!$D$92</f>
        <v>#REF!</v>
      </c>
      <c r="E86" s="341" t="e">
        <f>Mercado!#REF!*'Custo M.O'!$E$92</f>
        <v>#REF!</v>
      </c>
      <c r="F86" s="341" t="e">
        <f>Mercado!#REF!*'Custo M.O'!$F$92</f>
        <v>#REF!</v>
      </c>
      <c r="G86" s="341" t="e">
        <f>Mercado!#REF!*'Custo M.O'!$G$92</f>
        <v>#REF!</v>
      </c>
      <c r="H86" s="341" t="e">
        <f>Mercado!#REF!*'Custo M.O'!$H$92</f>
        <v>#REF!</v>
      </c>
      <c r="I86" s="7" t="e">
        <f t="shared" si="22"/>
        <v>#REF!</v>
      </c>
      <c r="J86" s="7" t="e">
        <f t="shared" si="23"/>
        <v>#REF!</v>
      </c>
      <c r="K86" s="7" t="e">
        <f t="shared" si="24"/>
        <v>#REF!</v>
      </c>
    </row>
    <row r="87" spans="1:11">
      <c r="A87" s="534"/>
      <c r="B87" s="336" t="s">
        <v>11</v>
      </c>
      <c r="C87" s="341" t="e">
        <f>Mercado!#REF!*'Custo M.O'!$C$92</f>
        <v>#REF!</v>
      </c>
      <c r="D87" s="341" t="e">
        <f>Mercado!#REF!*'Custo M.O'!$D$92</f>
        <v>#REF!</v>
      </c>
      <c r="E87" s="341" t="e">
        <f>Mercado!#REF!*'Custo M.O'!$E$92</f>
        <v>#REF!</v>
      </c>
      <c r="F87" s="341" t="e">
        <f>Mercado!#REF!*'Custo M.O'!$F$92</f>
        <v>#REF!</v>
      </c>
      <c r="G87" s="341" t="e">
        <f>Mercado!#REF!*'Custo M.O'!$G$92</f>
        <v>#REF!</v>
      </c>
      <c r="H87" s="341" t="e">
        <f>Mercado!#REF!*'Custo M.O'!$H$92</f>
        <v>#REF!</v>
      </c>
      <c r="I87" s="7" t="e">
        <f t="shared" si="22"/>
        <v>#REF!</v>
      </c>
      <c r="J87" s="7" t="e">
        <f t="shared" si="23"/>
        <v>#REF!</v>
      </c>
      <c r="K87" s="7" t="e">
        <f t="shared" si="24"/>
        <v>#REF!</v>
      </c>
    </row>
    <row r="88" spans="1:11">
      <c r="A88" s="534"/>
      <c r="B88" s="336" t="s">
        <v>12</v>
      </c>
      <c r="C88" s="341" t="e">
        <f>Mercado!#REF!*'Custo M.O'!$C$92</f>
        <v>#REF!</v>
      </c>
      <c r="D88" s="341" t="e">
        <f>Mercado!#REF!*'Custo M.O'!$D$92</f>
        <v>#REF!</v>
      </c>
      <c r="E88" s="341" t="e">
        <f>Mercado!#REF!*'Custo M.O'!$E$92</f>
        <v>#REF!</v>
      </c>
      <c r="F88" s="341" t="e">
        <f>Mercado!#REF!*'Custo M.O'!$F$92</f>
        <v>#REF!</v>
      </c>
      <c r="G88" s="341" t="e">
        <f>Mercado!#REF!*'Custo M.O'!$G$92</f>
        <v>#REF!</v>
      </c>
      <c r="H88" s="341" t="e">
        <f>Mercado!#REF!*'Custo M.O'!$H$92</f>
        <v>#REF!</v>
      </c>
      <c r="I88" s="7" t="e">
        <f t="shared" si="22"/>
        <v>#REF!</v>
      </c>
      <c r="J88" s="7" t="e">
        <f t="shared" si="23"/>
        <v>#REF!</v>
      </c>
      <c r="K88" s="7" t="e">
        <f t="shared" si="24"/>
        <v>#REF!</v>
      </c>
    </row>
    <row r="89" spans="1:11">
      <c r="A89" s="534"/>
      <c r="B89" s="339" t="s">
        <v>401</v>
      </c>
      <c r="C89" s="344" t="e">
        <f>SUM(C77:C88)</f>
        <v>#REF!</v>
      </c>
      <c r="D89" s="344" t="e">
        <f t="shared" ref="D89:H89" si="25">SUM(D77:D88)</f>
        <v>#REF!</v>
      </c>
      <c r="E89" s="344" t="e">
        <f t="shared" si="25"/>
        <v>#REF!</v>
      </c>
      <c r="F89" s="344" t="e">
        <f t="shared" si="25"/>
        <v>#REF!</v>
      </c>
      <c r="G89" s="344" t="e">
        <f t="shared" si="25"/>
        <v>#REF!</v>
      </c>
      <c r="H89" s="344" t="e">
        <f t="shared" si="25"/>
        <v>#REF!</v>
      </c>
      <c r="I89" s="357" t="e">
        <f>SUM(I77:I88)</f>
        <v>#REF!</v>
      </c>
      <c r="J89" s="362" t="e">
        <f>SUM(J77:J88)</f>
        <v>#REF!</v>
      </c>
      <c r="K89" s="362" t="e">
        <f>SUM(K77:K88)</f>
        <v>#REF!</v>
      </c>
    </row>
    <row r="90" spans="1:11" ht="14.45" hidden="1" customHeight="1">
      <c r="A90" s="534"/>
      <c r="B90" s="329" t="s">
        <v>313</v>
      </c>
      <c r="C90" s="330">
        <f>C91-C92</f>
        <v>-3492.8356287549977</v>
      </c>
      <c r="D90" s="330">
        <f t="shared" ref="D90:H90" si="26">D91-D92</f>
        <v>-3739.1106901912462</v>
      </c>
      <c r="E90" s="330">
        <f t="shared" si="26"/>
        <v>-8163.8910465887493</v>
      </c>
      <c r="F90" s="330">
        <f t="shared" si="26"/>
        <v>-9459.9020030899992</v>
      </c>
      <c r="G90" s="330">
        <f t="shared" si="26"/>
        <v>-6230.3676343562474</v>
      </c>
      <c r="H90" s="330">
        <f t="shared" si="26"/>
        <v>-11209.925902422496</v>
      </c>
    </row>
    <row r="91" spans="1:11" ht="14.45" hidden="1" customHeight="1">
      <c r="A91" s="534"/>
      <c r="B91" s="325" t="s">
        <v>95</v>
      </c>
      <c r="C91" s="337">
        <f>C68*$C$2+C68</f>
        <v>14608.752265800002</v>
      </c>
      <c r="D91" s="337">
        <f t="shared" ref="D91:H94" si="27">D68*$C$2+D68</f>
        <v>16281.41651351875</v>
      </c>
      <c r="E91" s="337">
        <f t="shared" si="27"/>
        <v>23602.659081746249</v>
      </c>
      <c r="F91" s="337">
        <f t="shared" si="27"/>
        <v>29164.394660142498</v>
      </c>
      <c r="G91" s="337">
        <f t="shared" si="27"/>
        <v>37707.780501600006</v>
      </c>
      <c r="H91" s="337">
        <f t="shared" si="27"/>
        <v>65087.904866998746</v>
      </c>
    </row>
    <row r="92" spans="1:11">
      <c r="A92" s="535"/>
      <c r="B92" s="325" t="s">
        <v>18</v>
      </c>
      <c r="C92" s="337">
        <f>C69*$C$2+C69</f>
        <v>18101.587894554999</v>
      </c>
      <c r="D92" s="337">
        <f t="shared" si="27"/>
        <v>20020.527203709997</v>
      </c>
      <c r="E92" s="337">
        <f t="shared" si="27"/>
        <v>31766.550128334999</v>
      </c>
      <c r="F92" s="337">
        <f t="shared" si="27"/>
        <v>38624.296663232497</v>
      </c>
      <c r="G92" s="337">
        <f t="shared" si="27"/>
        <v>43938.148135956253</v>
      </c>
      <c r="H92" s="337">
        <f t="shared" si="27"/>
        <v>76297.830769421242</v>
      </c>
    </row>
    <row r="93" spans="1:11">
      <c r="B93" s="333" t="s">
        <v>194</v>
      </c>
      <c r="C93" s="335">
        <f t="shared" ref="C93:C94" si="28">C70*$C$2+C70</f>
        <v>4152.2242391025002</v>
      </c>
      <c r="D93" s="335">
        <f t="shared" si="27"/>
        <v>4907.1741007575001</v>
      </c>
      <c r="E93" s="335">
        <f t="shared" si="27"/>
        <v>7820.5712178825006</v>
      </c>
      <c r="F93" s="335">
        <f t="shared" si="27"/>
        <v>8778.1921833375</v>
      </c>
      <c r="G93" s="335">
        <f t="shared" si="27"/>
        <v>8917.5285671999991</v>
      </c>
      <c r="H93" s="335">
        <f t="shared" si="27"/>
        <v>12815.147232153751</v>
      </c>
    </row>
    <row r="94" spans="1:11">
      <c r="B94" s="333" t="s">
        <v>195</v>
      </c>
      <c r="C94" s="335">
        <f t="shared" si="28"/>
        <v>13949.363655452502</v>
      </c>
      <c r="D94" s="335">
        <f t="shared" si="27"/>
        <v>15113.353102952498</v>
      </c>
      <c r="E94" s="335">
        <f t="shared" si="27"/>
        <v>23945.978910452501</v>
      </c>
      <c r="F94" s="335">
        <f t="shared" si="27"/>
        <v>29846.104479894995</v>
      </c>
      <c r="G94" s="335">
        <f t="shared" si="27"/>
        <v>35020.619568756243</v>
      </c>
      <c r="H94" s="335">
        <f t="shared" si="27"/>
        <v>63482.683537267498</v>
      </c>
    </row>
    <row r="96" spans="1:11">
      <c r="J96" s="359">
        <f>O98</f>
        <v>0</v>
      </c>
      <c r="K96" s="359">
        <f>O99</f>
        <v>0</v>
      </c>
    </row>
    <row r="97" spans="1:11">
      <c r="B97" s="325" t="s">
        <v>393</v>
      </c>
      <c r="C97" s="506" t="s">
        <v>389</v>
      </c>
      <c r="D97" s="506"/>
      <c r="E97" s="325" t="s">
        <v>394</v>
      </c>
      <c r="F97" s="506" t="s">
        <v>390</v>
      </c>
      <c r="G97" s="506"/>
      <c r="H97" s="326" t="s">
        <v>395</v>
      </c>
      <c r="I97" s="339" t="s">
        <v>400</v>
      </c>
      <c r="J97" s="339" t="s">
        <v>400</v>
      </c>
      <c r="K97" s="339" t="s">
        <v>400</v>
      </c>
    </row>
    <row r="98" spans="1:11">
      <c r="A98" s="533" t="s">
        <v>380</v>
      </c>
      <c r="B98" s="325" t="s">
        <v>0</v>
      </c>
      <c r="C98" s="325" t="s">
        <v>152</v>
      </c>
      <c r="D98" s="325" t="s">
        <v>121</v>
      </c>
      <c r="E98" s="325" t="s">
        <v>125</v>
      </c>
      <c r="F98" s="325" t="s">
        <v>131</v>
      </c>
      <c r="G98" s="325" t="s">
        <v>135</v>
      </c>
      <c r="H98" s="326" t="s">
        <v>145</v>
      </c>
      <c r="I98" s="339" t="s">
        <v>403</v>
      </c>
      <c r="J98" s="339" t="s">
        <v>402</v>
      </c>
      <c r="K98" s="339" t="s">
        <v>404</v>
      </c>
    </row>
    <row r="99" spans="1:11">
      <c r="A99" s="534"/>
      <c r="B99" s="336" t="s">
        <v>1</v>
      </c>
      <c r="C99" s="341" t="e">
        <f>Mercado!#REF!*'Custo M.O'!$C$114</f>
        <v>#REF!</v>
      </c>
      <c r="D99" s="341" t="e">
        <f>Mercado!#REF!*'Custo M.O'!$D$114</f>
        <v>#REF!</v>
      </c>
      <c r="E99" s="341" t="e">
        <f>Mercado!#REF!*'Custo M.O'!$E$114</f>
        <v>#REF!</v>
      </c>
      <c r="F99" s="341" t="e">
        <f>Mercado!#REF!*'Custo M.O'!$F$114</f>
        <v>#REF!</v>
      </c>
      <c r="G99" s="341" t="e">
        <f>Mercado!#REF!*'Custo M.O'!$G$114</f>
        <v>#REF!</v>
      </c>
      <c r="H99" s="341" t="e">
        <f>Mercado!#REF!*'Custo M.O'!$H$114</f>
        <v>#REF!</v>
      </c>
      <c r="I99" s="7" t="e">
        <f>SUM(C99:H99)</f>
        <v>#REF!</v>
      </c>
      <c r="J99" s="7" t="e">
        <f>I99*$J$5/100</f>
        <v>#REF!</v>
      </c>
      <c r="K99" s="7" t="e">
        <f>I99*$K$5/100</f>
        <v>#REF!</v>
      </c>
    </row>
    <row r="100" spans="1:11">
      <c r="A100" s="534"/>
      <c r="B100" s="336" t="s">
        <v>2</v>
      </c>
      <c r="C100" s="341" t="e">
        <f>Mercado!#REF!*'Custo M.O'!$C$114</f>
        <v>#REF!</v>
      </c>
      <c r="D100" s="341" t="e">
        <f>Mercado!#REF!*'Custo M.O'!$D$114</f>
        <v>#REF!</v>
      </c>
      <c r="E100" s="341" t="e">
        <f>Mercado!#REF!*'Custo M.O'!$E$114</f>
        <v>#REF!</v>
      </c>
      <c r="F100" s="341" t="e">
        <f>Mercado!#REF!*'Custo M.O'!$F$114</f>
        <v>#REF!</v>
      </c>
      <c r="G100" s="341" t="e">
        <f>Mercado!#REF!*'Custo M.O'!$G$114</f>
        <v>#REF!</v>
      </c>
      <c r="H100" s="341" t="e">
        <f>Mercado!#REF!*'Custo M.O'!$H$114</f>
        <v>#REF!</v>
      </c>
      <c r="I100" s="7" t="e">
        <f t="shared" ref="I100:I110" si="29">SUM(C100:H100)</f>
        <v>#REF!</v>
      </c>
      <c r="J100" s="7" t="e">
        <f t="shared" ref="J100:J110" si="30">I100*$J$5/100</f>
        <v>#REF!</v>
      </c>
      <c r="K100" s="7" t="e">
        <f t="shared" ref="K100:K110" si="31">I100*$K$5/100</f>
        <v>#REF!</v>
      </c>
    </row>
    <row r="101" spans="1:11">
      <c r="A101" s="534"/>
      <c r="B101" s="336" t="s">
        <v>3</v>
      </c>
      <c r="C101" s="341" t="e">
        <f>Mercado!#REF!*'Custo M.O'!$C$114</f>
        <v>#REF!</v>
      </c>
      <c r="D101" s="341" t="e">
        <f>Mercado!#REF!*'Custo M.O'!$D$114</f>
        <v>#REF!</v>
      </c>
      <c r="E101" s="341" t="e">
        <f>Mercado!#REF!*'Custo M.O'!$E$114</f>
        <v>#REF!</v>
      </c>
      <c r="F101" s="341" t="e">
        <f>Mercado!#REF!*'Custo M.O'!$F$114</f>
        <v>#REF!</v>
      </c>
      <c r="G101" s="341" t="e">
        <f>Mercado!#REF!*'Custo M.O'!$G$114</f>
        <v>#REF!</v>
      </c>
      <c r="H101" s="341" t="e">
        <f>Mercado!#REF!*'Custo M.O'!$H$114</f>
        <v>#REF!</v>
      </c>
      <c r="I101" s="7" t="e">
        <f t="shared" si="29"/>
        <v>#REF!</v>
      </c>
      <c r="J101" s="7" t="e">
        <f t="shared" si="30"/>
        <v>#REF!</v>
      </c>
      <c r="K101" s="7" t="e">
        <f t="shared" si="31"/>
        <v>#REF!</v>
      </c>
    </row>
    <row r="102" spans="1:11">
      <c r="A102" s="534"/>
      <c r="B102" s="336" t="s">
        <v>4</v>
      </c>
      <c r="C102" s="341" t="e">
        <f>Mercado!#REF!*'Custo M.O'!$C$114</f>
        <v>#REF!</v>
      </c>
      <c r="D102" s="341" t="e">
        <f>Mercado!#REF!*'Custo M.O'!$D$114</f>
        <v>#REF!</v>
      </c>
      <c r="E102" s="341" t="e">
        <f>Mercado!#REF!*'Custo M.O'!$E$114</f>
        <v>#REF!</v>
      </c>
      <c r="F102" s="341" t="e">
        <f>Mercado!#REF!*'Custo M.O'!$F$114</f>
        <v>#REF!</v>
      </c>
      <c r="G102" s="341" t="e">
        <f>Mercado!#REF!*'Custo M.O'!$G$114</f>
        <v>#REF!</v>
      </c>
      <c r="H102" s="341" t="e">
        <f>Mercado!#REF!*'Custo M.O'!$H$114</f>
        <v>#REF!</v>
      </c>
      <c r="I102" s="7" t="e">
        <f t="shared" si="29"/>
        <v>#REF!</v>
      </c>
      <c r="J102" s="7" t="e">
        <f t="shared" si="30"/>
        <v>#REF!</v>
      </c>
      <c r="K102" s="7" t="e">
        <f t="shared" si="31"/>
        <v>#REF!</v>
      </c>
    </row>
    <row r="103" spans="1:11">
      <c r="A103" s="534"/>
      <c r="B103" s="336" t="s">
        <v>5</v>
      </c>
      <c r="C103" s="341" t="e">
        <f>Mercado!#REF!*'Custo M.O'!$C$114</f>
        <v>#REF!</v>
      </c>
      <c r="D103" s="341" t="e">
        <f>Mercado!#REF!*'Custo M.O'!$D$114</f>
        <v>#REF!</v>
      </c>
      <c r="E103" s="341" t="e">
        <f>Mercado!#REF!*'Custo M.O'!$E$114</f>
        <v>#REF!</v>
      </c>
      <c r="F103" s="341" t="e">
        <f>Mercado!#REF!*'Custo M.O'!$F$114</f>
        <v>#REF!</v>
      </c>
      <c r="G103" s="341" t="e">
        <f>Mercado!#REF!*'Custo M.O'!$G$114</f>
        <v>#REF!</v>
      </c>
      <c r="H103" s="341" t="e">
        <f>Mercado!#REF!*'Custo M.O'!$H$114</f>
        <v>#REF!</v>
      </c>
      <c r="I103" s="7" t="e">
        <f t="shared" si="29"/>
        <v>#REF!</v>
      </c>
      <c r="J103" s="7" t="e">
        <f t="shared" si="30"/>
        <v>#REF!</v>
      </c>
      <c r="K103" s="7" t="e">
        <f t="shared" si="31"/>
        <v>#REF!</v>
      </c>
    </row>
    <row r="104" spans="1:11">
      <c r="A104" s="534"/>
      <c r="B104" s="336" t="s">
        <v>6</v>
      </c>
      <c r="C104" s="341" t="e">
        <f>Mercado!#REF!*'Custo M.O'!$C$114</f>
        <v>#REF!</v>
      </c>
      <c r="D104" s="341" t="e">
        <f>Mercado!#REF!*'Custo M.O'!$D$114</f>
        <v>#REF!</v>
      </c>
      <c r="E104" s="341" t="e">
        <f>Mercado!#REF!*'Custo M.O'!$E$114</f>
        <v>#REF!</v>
      </c>
      <c r="F104" s="341" t="e">
        <f>Mercado!#REF!*'Custo M.O'!$F$114</f>
        <v>#REF!</v>
      </c>
      <c r="G104" s="341" t="e">
        <f>Mercado!#REF!*'Custo M.O'!$G$114</f>
        <v>#REF!</v>
      </c>
      <c r="H104" s="341" t="e">
        <f>Mercado!#REF!*'Custo M.O'!$H$114</f>
        <v>#REF!</v>
      </c>
      <c r="I104" s="7" t="e">
        <f t="shared" si="29"/>
        <v>#REF!</v>
      </c>
      <c r="J104" s="7" t="e">
        <f t="shared" si="30"/>
        <v>#REF!</v>
      </c>
      <c r="K104" s="7" t="e">
        <f t="shared" si="31"/>
        <v>#REF!</v>
      </c>
    </row>
    <row r="105" spans="1:11">
      <c r="A105" s="534"/>
      <c r="B105" s="336" t="s">
        <v>7</v>
      </c>
      <c r="C105" s="341" t="e">
        <f>Mercado!#REF!*'Custo M.O'!$C$114</f>
        <v>#REF!</v>
      </c>
      <c r="D105" s="341" t="e">
        <f>Mercado!#REF!*'Custo M.O'!$D$114</f>
        <v>#REF!</v>
      </c>
      <c r="E105" s="341" t="e">
        <f>Mercado!#REF!*'Custo M.O'!$E$114</f>
        <v>#REF!</v>
      </c>
      <c r="F105" s="341" t="e">
        <f>Mercado!#REF!*'Custo M.O'!$F$114</f>
        <v>#REF!</v>
      </c>
      <c r="G105" s="341" t="e">
        <f>Mercado!#REF!*'Custo M.O'!$G$114</f>
        <v>#REF!</v>
      </c>
      <c r="H105" s="341" t="e">
        <f>Mercado!#REF!*'Custo M.O'!$H$114</f>
        <v>#REF!</v>
      </c>
      <c r="I105" s="7" t="e">
        <f t="shared" si="29"/>
        <v>#REF!</v>
      </c>
      <c r="J105" s="7" t="e">
        <f t="shared" si="30"/>
        <v>#REF!</v>
      </c>
      <c r="K105" s="7" t="e">
        <f t="shared" si="31"/>
        <v>#REF!</v>
      </c>
    </row>
    <row r="106" spans="1:11">
      <c r="A106" s="534"/>
      <c r="B106" s="336" t="s">
        <v>8</v>
      </c>
      <c r="C106" s="341" t="e">
        <f>Mercado!#REF!*'Custo M.O'!$C$114</f>
        <v>#REF!</v>
      </c>
      <c r="D106" s="341" t="e">
        <f>Mercado!#REF!*'Custo M.O'!$D$114</f>
        <v>#REF!</v>
      </c>
      <c r="E106" s="341" t="e">
        <f>Mercado!#REF!*'Custo M.O'!$E$114</f>
        <v>#REF!</v>
      </c>
      <c r="F106" s="341" t="e">
        <f>Mercado!#REF!*'Custo M.O'!$F$114</f>
        <v>#REF!</v>
      </c>
      <c r="G106" s="341" t="e">
        <f>Mercado!#REF!*'Custo M.O'!$G$114</f>
        <v>#REF!</v>
      </c>
      <c r="H106" s="341" t="e">
        <f>Mercado!#REF!*'Custo M.O'!$H$114</f>
        <v>#REF!</v>
      </c>
      <c r="I106" s="7" t="e">
        <f t="shared" si="29"/>
        <v>#REF!</v>
      </c>
      <c r="J106" s="7" t="e">
        <f t="shared" si="30"/>
        <v>#REF!</v>
      </c>
      <c r="K106" s="7" t="e">
        <f t="shared" si="31"/>
        <v>#REF!</v>
      </c>
    </row>
    <row r="107" spans="1:11">
      <c r="A107" s="534"/>
      <c r="B107" s="336" t="s">
        <v>9</v>
      </c>
      <c r="C107" s="341" t="e">
        <f>Mercado!#REF!*'Custo M.O'!$C$114</f>
        <v>#REF!</v>
      </c>
      <c r="D107" s="341" t="e">
        <f>Mercado!#REF!*'Custo M.O'!$D$114</f>
        <v>#REF!</v>
      </c>
      <c r="E107" s="341" t="e">
        <f>Mercado!#REF!*'Custo M.O'!$E$114</f>
        <v>#REF!</v>
      </c>
      <c r="F107" s="341" t="e">
        <f>Mercado!#REF!*'Custo M.O'!$F$114</f>
        <v>#REF!</v>
      </c>
      <c r="G107" s="341" t="e">
        <f>Mercado!#REF!*'Custo M.O'!$G$114</f>
        <v>#REF!</v>
      </c>
      <c r="H107" s="341" t="e">
        <f>Mercado!#REF!*'Custo M.O'!$H$114</f>
        <v>#REF!</v>
      </c>
      <c r="I107" s="7" t="e">
        <f t="shared" si="29"/>
        <v>#REF!</v>
      </c>
      <c r="J107" s="7" t="e">
        <f t="shared" si="30"/>
        <v>#REF!</v>
      </c>
      <c r="K107" s="7" t="e">
        <f t="shared" si="31"/>
        <v>#REF!</v>
      </c>
    </row>
    <row r="108" spans="1:11">
      <c r="A108" s="534"/>
      <c r="B108" s="336" t="s">
        <v>10</v>
      </c>
      <c r="C108" s="341" t="e">
        <f>Mercado!#REF!*'Custo M.O'!$C$114</f>
        <v>#REF!</v>
      </c>
      <c r="D108" s="341" t="e">
        <f>Mercado!#REF!*'Custo M.O'!$D$114</f>
        <v>#REF!</v>
      </c>
      <c r="E108" s="341" t="e">
        <f>Mercado!#REF!*'Custo M.O'!$E$114</f>
        <v>#REF!</v>
      </c>
      <c r="F108" s="341" t="e">
        <f>Mercado!#REF!*'Custo M.O'!$F$114</f>
        <v>#REF!</v>
      </c>
      <c r="G108" s="341" t="e">
        <f>Mercado!#REF!*'Custo M.O'!$G$114</f>
        <v>#REF!</v>
      </c>
      <c r="H108" s="341" t="e">
        <f>Mercado!#REF!*'Custo M.O'!$H$114</f>
        <v>#REF!</v>
      </c>
      <c r="I108" s="7" t="e">
        <f t="shared" si="29"/>
        <v>#REF!</v>
      </c>
      <c r="J108" s="7" t="e">
        <f t="shared" si="30"/>
        <v>#REF!</v>
      </c>
      <c r="K108" s="7" t="e">
        <f t="shared" si="31"/>
        <v>#REF!</v>
      </c>
    </row>
    <row r="109" spans="1:11">
      <c r="A109" s="534"/>
      <c r="B109" s="336" t="s">
        <v>11</v>
      </c>
      <c r="C109" s="341" t="e">
        <f>Mercado!#REF!*'Custo M.O'!$C$114</f>
        <v>#REF!</v>
      </c>
      <c r="D109" s="341" t="e">
        <f>Mercado!#REF!*'Custo M.O'!$D$114</f>
        <v>#REF!</v>
      </c>
      <c r="E109" s="341" t="e">
        <f>Mercado!#REF!*'Custo M.O'!$E$114</f>
        <v>#REF!</v>
      </c>
      <c r="F109" s="341" t="e">
        <f>Mercado!#REF!*'Custo M.O'!$F$114</f>
        <v>#REF!</v>
      </c>
      <c r="G109" s="341" t="e">
        <f>Mercado!#REF!*'Custo M.O'!$G$114</f>
        <v>#REF!</v>
      </c>
      <c r="H109" s="341" t="e">
        <f>Mercado!#REF!*'Custo M.O'!$H$114</f>
        <v>#REF!</v>
      </c>
      <c r="I109" s="7" t="e">
        <f t="shared" si="29"/>
        <v>#REF!</v>
      </c>
      <c r="J109" s="7" t="e">
        <f t="shared" si="30"/>
        <v>#REF!</v>
      </c>
      <c r="K109" s="7" t="e">
        <f t="shared" si="31"/>
        <v>#REF!</v>
      </c>
    </row>
    <row r="110" spans="1:11">
      <c r="A110" s="534"/>
      <c r="B110" s="336" t="s">
        <v>12</v>
      </c>
      <c r="C110" s="341" t="e">
        <f>Mercado!#REF!*'Custo M.O'!$C$114</f>
        <v>#REF!</v>
      </c>
      <c r="D110" s="341" t="e">
        <f>Mercado!#REF!*'Custo M.O'!$D$114</f>
        <v>#REF!</v>
      </c>
      <c r="E110" s="341" t="e">
        <f>Mercado!#REF!*'Custo M.O'!$E$114</f>
        <v>#REF!</v>
      </c>
      <c r="F110" s="341" t="e">
        <f>Mercado!#REF!*'Custo M.O'!$F$114</f>
        <v>#REF!</v>
      </c>
      <c r="G110" s="341" t="e">
        <f>Mercado!#REF!*'Custo M.O'!$G$114</f>
        <v>#REF!</v>
      </c>
      <c r="H110" s="341" t="e">
        <f>Mercado!#REF!*'Custo M.O'!$H$114</f>
        <v>#REF!</v>
      </c>
      <c r="I110" s="7" t="e">
        <f t="shared" si="29"/>
        <v>#REF!</v>
      </c>
      <c r="J110" s="7" t="e">
        <f t="shared" si="30"/>
        <v>#REF!</v>
      </c>
      <c r="K110" s="7" t="e">
        <f t="shared" si="31"/>
        <v>#REF!</v>
      </c>
    </row>
    <row r="111" spans="1:11">
      <c r="A111" s="534"/>
      <c r="B111" s="339" t="s">
        <v>401</v>
      </c>
      <c r="C111" s="344" t="e">
        <f>SUM(C99:C110)</f>
        <v>#REF!</v>
      </c>
      <c r="D111" s="344" t="e">
        <f t="shared" ref="D111:H111" si="32">SUM(D99:D110)</f>
        <v>#REF!</v>
      </c>
      <c r="E111" s="344" t="e">
        <f t="shared" si="32"/>
        <v>#REF!</v>
      </c>
      <c r="F111" s="344" t="e">
        <f t="shared" si="32"/>
        <v>#REF!</v>
      </c>
      <c r="G111" s="344" t="e">
        <f t="shared" si="32"/>
        <v>#REF!</v>
      </c>
      <c r="H111" s="344" t="e">
        <f t="shared" si="32"/>
        <v>#REF!</v>
      </c>
      <c r="I111" s="357" t="e">
        <f>SUM(I99:I110)</f>
        <v>#REF!</v>
      </c>
      <c r="J111" s="362" t="e">
        <f>SUM(J99:J110)</f>
        <v>#REF!</v>
      </c>
      <c r="K111" s="362" t="e">
        <f>SUM(K99:K110)</f>
        <v>#REF!</v>
      </c>
    </row>
    <row r="112" spans="1:11" ht="14.45" hidden="1" customHeight="1">
      <c r="A112" s="534"/>
      <c r="B112" s="329" t="s">
        <v>313</v>
      </c>
      <c r="C112" s="330">
        <f>C113-C114</f>
        <v>-3650.0132320489738</v>
      </c>
      <c r="D112" s="330">
        <f t="shared" ref="D112:H112" si="33">D113-D114</f>
        <v>-3907.3706712498533</v>
      </c>
      <c r="E112" s="330">
        <f t="shared" si="33"/>
        <v>-8531.2661436852432</v>
      </c>
      <c r="F112" s="330">
        <f t="shared" si="33"/>
        <v>-9885.5975932290494</v>
      </c>
      <c r="G112" s="330">
        <f t="shared" si="33"/>
        <v>-6510.7341779022754</v>
      </c>
      <c r="H112" s="330">
        <f t="shared" si="33"/>
        <v>-11714.372568031511</v>
      </c>
    </row>
    <row r="113" spans="1:8" ht="14.45" hidden="1" customHeight="1">
      <c r="A113" s="534"/>
      <c r="B113" s="325" t="s">
        <v>95</v>
      </c>
      <c r="C113" s="337">
        <f>C91*$C$2+C91</f>
        <v>15266.146117761002</v>
      </c>
      <c r="D113" s="337">
        <f t="shared" ref="D113:H116" si="34">D91*$C$2+D91</f>
        <v>17014.080256627094</v>
      </c>
      <c r="E113" s="337">
        <f t="shared" si="34"/>
        <v>24664.77874042483</v>
      </c>
      <c r="F113" s="337">
        <f t="shared" si="34"/>
        <v>30476.792419848909</v>
      </c>
      <c r="G113" s="337">
        <f t="shared" si="34"/>
        <v>39404.630624172009</v>
      </c>
      <c r="H113" s="337">
        <f t="shared" si="34"/>
        <v>68016.860586013689</v>
      </c>
    </row>
    <row r="114" spans="1:8">
      <c r="A114" s="535"/>
      <c r="B114" s="325" t="s">
        <v>18</v>
      </c>
      <c r="C114" s="337">
        <f>C92*$C$2+C92</f>
        <v>18916.159349809976</v>
      </c>
      <c r="D114" s="337">
        <f t="shared" si="34"/>
        <v>20921.450927876947</v>
      </c>
      <c r="E114" s="337">
        <f t="shared" si="34"/>
        <v>33196.044884110073</v>
      </c>
      <c r="F114" s="337">
        <f t="shared" si="34"/>
        <v>40362.390013077958</v>
      </c>
      <c r="G114" s="337">
        <f t="shared" si="34"/>
        <v>45915.364802074284</v>
      </c>
      <c r="H114" s="337">
        <f t="shared" si="34"/>
        <v>79731.2331540452</v>
      </c>
    </row>
    <row r="115" spans="1:8">
      <c r="B115" s="333" t="s">
        <v>194</v>
      </c>
      <c r="C115" s="335">
        <f t="shared" ref="C115:C116" si="35">C93*$C$2+C93</f>
        <v>4339.0743298621128</v>
      </c>
      <c r="D115" s="335">
        <f t="shared" si="34"/>
        <v>5127.9969352915878</v>
      </c>
      <c r="E115" s="335">
        <f t="shared" si="34"/>
        <v>8172.4969226872126</v>
      </c>
      <c r="F115" s="335">
        <f t="shared" si="34"/>
        <v>9173.2108315876867</v>
      </c>
      <c r="G115" s="335">
        <f t="shared" si="34"/>
        <v>9318.8173527239996</v>
      </c>
      <c r="H115" s="335">
        <f t="shared" si="34"/>
        <v>13391.828857600671</v>
      </c>
    </row>
    <row r="116" spans="1:8">
      <c r="B116" s="333" t="s">
        <v>195</v>
      </c>
      <c r="C116" s="335">
        <f t="shared" si="35"/>
        <v>14577.085019947865</v>
      </c>
      <c r="D116" s="335">
        <f t="shared" si="34"/>
        <v>15793.453992585361</v>
      </c>
      <c r="E116" s="335">
        <f t="shared" si="34"/>
        <v>25023.547961422864</v>
      </c>
      <c r="F116" s="335">
        <f t="shared" si="34"/>
        <v>31189.179181490268</v>
      </c>
      <c r="G116" s="335">
        <f t="shared" si="34"/>
        <v>36596.547449350277</v>
      </c>
      <c r="H116" s="335">
        <f t="shared" si="34"/>
        <v>66339.40429644454</v>
      </c>
    </row>
  </sheetData>
  <mergeCells count="17">
    <mergeCell ref="A98:A114"/>
    <mergeCell ref="A53:A69"/>
    <mergeCell ref="C75:D75"/>
    <mergeCell ref="F75:G75"/>
    <mergeCell ref="A76:A92"/>
    <mergeCell ref="C97:D97"/>
    <mergeCell ref="F97:G97"/>
    <mergeCell ref="A6:A25"/>
    <mergeCell ref="E1:F1"/>
    <mergeCell ref="E2:F2"/>
    <mergeCell ref="C6:D6"/>
    <mergeCell ref="F6:G6"/>
    <mergeCell ref="C29:D29"/>
    <mergeCell ref="F29:G29"/>
    <mergeCell ref="A30:A46"/>
    <mergeCell ref="C52:D52"/>
    <mergeCell ref="F52:G52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3"/>
  <dimension ref="A1:R42"/>
  <sheetViews>
    <sheetView topLeftCell="H28" workbookViewId="0">
      <selection activeCell="C30" sqref="C30:N31"/>
    </sheetView>
  </sheetViews>
  <sheetFormatPr defaultColWidth="9.140625" defaultRowHeight="12"/>
  <cols>
    <col min="1" max="1" width="29.7109375" style="11" bestFit="1" customWidth="1"/>
    <col min="2" max="2" width="7.7109375" style="11" customWidth="1"/>
    <col min="3" max="3" width="14" style="11" bestFit="1" customWidth="1"/>
    <col min="4" max="4" width="17.85546875" style="11" bestFit="1" customWidth="1"/>
    <col min="5" max="14" width="15.140625" style="11" bestFit="1" customWidth="1"/>
    <col min="15" max="15" width="4.1406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 thickBot="1"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8" s="14" customFormat="1">
      <c r="A2" s="12" t="s">
        <v>40</v>
      </c>
      <c r="B2" s="12"/>
      <c r="C2" s="13" t="e">
        <f>'Fluxo de Caixa 02'!P33</f>
        <v>#REF!</v>
      </c>
      <c r="D2" s="13" t="e">
        <f>C34</f>
        <v>#REF!</v>
      </c>
      <c r="E2" s="13" t="e">
        <f t="shared" ref="E2:N2" si="0">D34</f>
        <v>#REF!</v>
      </c>
      <c r="F2" s="13" t="e">
        <f t="shared" si="0"/>
        <v>#REF!</v>
      </c>
      <c r="G2" s="13" t="e">
        <f t="shared" si="0"/>
        <v>#REF!</v>
      </c>
      <c r="H2" s="13" t="e">
        <f t="shared" si="0"/>
        <v>#REF!</v>
      </c>
      <c r="I2" s="13" t="e">
        <f t="shared" si="0"/>
        <v>#REF!</v>
      </c>
      <c r="J2" s="13" t="e">
        <f t="shared" si="0"/>
        <v>#REF!</v>
      </c>
      <c r="K2" s="13" t="e">
        <f t="shared" si="0"/>
        <v>#REF!</v>
      </c>
      <c r="L2" s="13" t="e">
        <f t="shared" si="0"/>
        <v>#REF!</v>
      </c>
      <c r="M2" s="13" t="e">
        <f t="shared" si="0"/>
        <v>#REF!</v>
      </c>
      <c r="N2" s="13" t="e">
        <f t="shared" si="0"/>
        <v>#REF!</v>
      </c>
      <c r="P2" s="15" t="e">
        <f>N2</f>
        <v>#REF!</v>
      </c>
      <c r="Q2" s="15"/>
      <c r="R2" s="262" t="s">
        <v>14</v>
      </c>
    </row>
    <row r="3" spans="1:18">
      <c r="A3" s="12" t="s">
        <v>41</v>
      </c>
      <c r="B3" s="16"/>
      <c r="C3" s="13" t="e">
        <f>SUM(C4:C5)</f>
        <v>#REF!</v>
      </c>
      <c r="D3" s="13" t="e">
        <f>SUM(D4:D5)</f>
        <v>#REF!</v>
      </c>
      <c r="E3" s="13" t="e">
        <f>SUM(E4:E5)</f>
        <v>#REF!</v>
      </c>
      <c r="F3" s="13" t="e">
        <f t="shared" ref="F3:N3" si="1">SUM(F4:F5)</f>
        <v>#REF!</v>
      </c>
      <c r="G3" s="13" t="e">
        <f t="shared" si="1"/>
        <v>#REF!</v>
      </c>
      <c r="H3" s="13" t="e">
        <f t="shared" si="1"/>
        <v>#REF!</v>
      </c>
      <c r="I3" s="13" t="e">
        <f t="shared" si="1"/>
        <v>#REF!</v>
      </c>
      <c r="J3" s="13" t="e">
        <f t="shared" si="1"/>
        <v>#REF!</v>
      </c>
      <c r="K3" s="13" t="e">
        <f t="shared" si="1"/>
        <v>#REF!</v>
      </c>
      <c r="L3" s="13" t="e">
        <f t="shared" si="1"/>
        <v>#REF!</v>
      </c>
      <c r="M3" s="13" t="e">
        <f t="shared" si="1"/>
        <v>#REF!</v>
      </c>
      <c r="N3" s="13" t="e">
        <f t="shared" si="1"/>
        <v>#REF!</v>
      </c>
      <c r="P3" s="15" t="e">
        <f>SUM(C3:N3)</f>
        <v>#REF!</v>
      </c>
      <c r="R3" s="263">
        <v>455129.06495281134</v>
      </c>
    </row>
    <row r="4" spans="1:18">
      <c r="A4" s="17" t="s">
        <v>97</v>
      </c>
      <c r="B4" s="205">
        <v>0.7</v>
      </c>
      <c r="C4" s="18" t="e">
        <f>Demanda!B8*'Fluxo de Caixa 04'!$B$4</f>
        <v>#REF!</v>
      </c>
      <c r="D4" s="18" t="e">
        <f>Demanda!C8*'Fluxo de Caixa 04'!$B$4</f>
        <v>#REF!</v>
      </c>
      <c r="E4" s="18" t="e">
        <f>Demanda!D8*'Fluxo de Caixa 04'!$B$4</f>
        <v>#REF!</v>
      </c>
      <c r="F4" s="18" t="e">
        <f>Demanda!E8*'Fluxo de Caixa 04'!$B$4</f>
        <v>#REF!</v>
      </c>
      <c r="G4" s="18" t="e">
        <f>Demanda!F8*'Fluxo de Caixa 04'!$B$4</f>
        <v>#REF!</v>
      </c>
      <c r="H4" s="18" t="e">
        <f>Demanda!G8*'Fluxo de Caixa 04'!$B$4</f>
        <v>#REF!</v>
      </c>
      <c r="I4" s="18" t="e">
        <f>Demanda!H8*'Fluxo de Caixa 04'!$B$4</f>
        <v>#REF!</v>
      </c>
      <c r="J4" s="18" t="e">
        <f>Demanda!I8*'Fluxo de Caixa 04'!$B$4</f>
        <v>#REF!</v>
      </c>
      <c r="K4" s="18" t="e">
        <f>Demanda!J8*'Fluxo de Caixa 04'!$B$4</f>
        <v>#REF!</v>
      </c>
      <c r="L4" s="18" t="e">
        <f>Demanda!K8*'Fluxo de Caixa 04'!$B$4</f>
        <v>#REF!</v>
      </c>
      <c r="M4" s="18" t="e">
        <f>Demanda!L8*'Fluxo de Caixa 04'!$B$4</f>
        <v>#REF!</v>
      </c>
      <c r="N4" s="18" t="e">
        <f>Demanda!M8*'Fluxo de Caixa 04'!$B$4</f>
        <v>#REF!</v>
      </c>
      <c r="P4" s="15" t="e">
        <f t="shared" ref="P4:P5" si="2">SUM(C4:N4)</f>
        <v>#REF!</v>
      </c>
      <c r="R4" s="263">
        <v>455129.06495281134</v>
      </c>
    </row>
    <row r="5" spans="1:18">
      <c r="A5" s="17" t="s">
        <v>42</v>
      </c>
      <c r="B5" s="205">
        <v>0.3</v>
      </c>
      <c r="C5" s="18" t="e">
        <f>Demanda!B8*'Fluxo de Caixa 04'!$B$5</f>
        <v>#REF!</v>
      </c>
      <c r="D5" s="18" t="e">
        <f>Demanda!C8*'Fluxo de Caixa 04'!$B$5</f>
        <v>#REF!</v>
      </c>
      <c r="E5" s="18" t="e">
        <f>Demanda!D8*'Fluxo de Caixa 04'!$B$5</f>
        <v>#REF!</v>
      </c>
      <c r="F5" s="18" t="e">
        <f>Demanda!E8*'Fluxo de Caixa 04'!$B$5</f>
        <v>#REF!</v>
      </c>
      <c r="G5" s="18" t="e">
        <f>Demanda!F8*'Fluxo de Caixa 04'!$B$5</f>
        <v>#REF!</v>
      </c>
      <c r="H5" s="18" t="e">
        <f>Demanda!G8*'Fluxo de Caixa 04'!$B$5</f>
        <v>#REF!</v>
      </c>
      <c r="I5" s="18" t="e">
        <f>Demanda!H8*'Fluxo de Caixa 04'!$B$5</f>
        <v>#REF!</v>
      </c>
      <c r="J5" s="18" t="e">
        <f>Demanda!I8*'Fluxo de Caixa 04'!$B$5</f>
        <v>#REF!</v>
      </c>
      <c r="K5" s="18" t="e">
        <f>Demanda!J8*'Fluxo de Caixa 04'!$B$5</f>
        <v>#REF!</v>
      </c>
      <c r="L5" s="18" t="e">
        <f>Demanda!K8*'Fluxo de Caixa 04'!$B$5</f>
        <v>#REF!</v>
      </c>
      <c r="M5" s="18" t="e">
        <f>Demanda!L8*'Fluxo de Caixa 04'!$B$5</f>
        <v>#REF!</v>
      </c>
      <c r="N5" s="18" t="e">
        <f>Demanda!M8*'Fluxo de Caixa 04'!$B$5</f>
        <v>#REF!</v>
      </c>
      <c r="P5" s="15" t="e">
        <f t="shared" si="2"/>
        <v>#REF!</v>
      </c>
      <c r="R5" s="263">
        <v>612758.75148134027</v>
      </c>
    </row>
    <row r="6" spans="1:18" s="14" customFormat="1">
      <c r="A6" s="12" t="s">
        <v>43</v>
      </c>
      <c r="B6" s="12"/>
      <c r="C6" s="13" t="e">
        <f t="shared" ref="C6:N6" si="3">C7+C20</f>
        <v>#REF!</v>
      </c>
      <c r="D6" s="13" t="e">
        <f t="shared" si="3"/>
        <v>#REF!</v>
      </c>
      <c r="E6" s="13" t="e">
        <f t="shared" si="3"/>
        <v>#REF!</v>
      </c>
      <c r="F6" s="13" t="e">
        <f t="shared" si="3"/>
        <v>#REF!</v>
      </c>
      <c r="G6" s="13" t="e">
        <f t="shared" si="3"/>
        <v>#REF!</v>
      </c>
      <c r="H6" s="13" t="e">
        <f t="shared" si="3"/>
        <v>#REF!</v>
      </c>
      <c r="I6" s="13" t="e">
        <f t="shared" si="3"/>
        <v>#REF!</v>
      </c>
      <c r="J6" s="13" t="e">
        <f t="shared" si="3"/>
        <v>#REF!</v>
      </c>
      <c r="K6" s="13" t="e">
        <f t="shared" si="3"/>
        <v>#REF!</v>
      </c>
      <c r="L6" s="13" t="e">
        <f t="shared" si="3"/>
        <v>#REF!</v>
      </c>
      <c r="M6" s="13" t="e">
        <f t="shared" si="3"/>
        <v>#REF!</v>
      </c>
      <c r="N6" s="13" t="e">
        <f t="shared" si="3"/>
        <v>#REF!</v>
      </c>
      <c r="P6" s="15" t="e">
        <f>SUM(C6:N6)</f>
        <v>#REF!</v>
      </c>
      <c r="R6" s="263">
        <v>1213699.4363391681</v>
      </c>
    </row>
    <row r="7" spans="1:18" s="14" customFormat="1">
      <c r="A7" s="12" t="s">
        <v>44</v>
      </c>
      <c r="B7" s="12"/>
      <c r="C7" s="13" t="e">
        <f t="shared" ref="C7:N7" si="4">C8+C15</f>
        <v>#REF!</v>
      </c>
      <c r="D7" s="13" t="e">
        <f t="shared" si="4"/>
        <v>#REF!</v>
      </c>
      <c r="E7" s="13" t="e">
        <f t="shared" si="4"/>
        <v>#REF!</v>
      </c>
      <c r="F7" s="13" t="e">
        <f t="shared" si="4"/>
        <v>#REF!</v>
      </c>
      <c r="G7" s="13" t="e">
        <f t="shared" si="4"/>
        <v>#REF!</v>
      </c>
      <c r="H7" s="13" t="e">
        <f t="shared" si="4"/>
        <v>#REF!</v>
      </c>
      <c r="I7" s="13" t="e">
        <f t="shared" si="4"/>
        <v>#REF!</v>
      </c>
      <c r="J7" s="13" t="e">
        <f t="shared" si="4"/>
        <v>#REF!</v>
      </c>
      <c r="K7" s="13" t="e">
        <f t="shared" si="4"/>
        <v>#REF!</v>
      </c>
      <c r="L7" s="13" t="e">
        <f t="shared" si="4"/>
        <v>#REF!</v>
      </c>
      <c r="M7" s="13" t="e">
        <f t="shared" si="4"/>
        <v>#REF!</v>
      </c>
      <c r="N7" s="13" t="e">
        <f t="shared" si="4"/>
        <v>#REF!</v>
      </c>
      <c r="P7" s="15" t="e">
        <f t="shared" ref="P7:P29" si="5">SUM(C7:N7)</f>
        <v>#REF!</v>
      </c>
      <c r="R7" s="263">
        <v>612758.75148134027</v>
      </c>
    </row>
    <row r="8" spans="1:18" s="14" customFormat="1">
      <c r="A8" s="12" t="s">
        <v>45</v>
      </c>
      <c r="B8" s="12"/>
      <c r="C8" s="13" t="e">
        <f t="shared" ref="C8:N8" si="6">SUM(C9:C14)</f>
        <v>#REF!</v>
      </c>
      <c r="D8" s="13" t="e">
        <f t="shared" si="6"/>
        <v>#REF!</v>
      </c>
      <c r="E8" s="13" t="e">
        <f t="shared" si="6"/>
        <v>#REF!</v>
      </c>
      <c r="F8" s="13" t="e">
        <f t="shared" si="6"/>
        <v>#REF!</v>
      </c>
      <c r="G8" s="13" t="e">
        <f t="shared" si="6"/>
        <v>#REF!</v>
      </c>
      <c r="H8" s="13" t="e">
        <f t="shared" si="6"/>
        <v>#REF!</v>
      </c>
      <c r="I8" s="13" t="e">
        <f t="shared" si="6"/>
        <v>#REF!</v>
      </c>
      <c r="J8" s="13" t="e">
        <f t="shared" si="6"/>
        <v>#REF!</v>
      </c>
      <c r="K8" s="13" t="e">
        <f t="shared" si="6"/>
        <v>#REF!</v>
      </c>
      <c r="L8" s="13" t="e">
        <f t="shared" si="6"/>
        <v>#REF!</v>
      </c>
      <c r="M8" s="13" t="e">
        <f t="shared" si="6"/>
        <v>#REF!</v>
      </c>
      <c r="N8" s="13" t="e">
        <f t="shared" si="6"/>
        <v>#REF!</v>
      </c>
      <c r="P8" s="15" t="e">
        <f t="shared" si="5"/>
        <v>#REF!</v>
      </c>
      <c r="Q8" s="25"/>
      <c r="R8" s="263">
        <v>455129.06495281134</v>
      </c>
    </row>
    <row r="9" spans="1:18">
      <c r="A9" s="17" t="str">
        <f>'[2]custos fixos anual'!A6:C6</f>
        <v>Água</v>
      </c>
      <c r="B9" s="17"/>
      <c r="C9" s="18" t="e">
        <f>'Fluxo de caixa 03'!C9*0.07+'Fluxo de caixa 03'!C9</f>
        <v>#REF!</v>
      </c>
      <c r="D9" s="18" t="e">
        <f>'Fluxo de caixa 03'!D9*0.07+'Fluxo de caixa 03'!D9</f>
        <v>#REF!</v>
      </c>
      <c r="E9" s="18" t="e">
        <f>'Fluxo de caixa 03'!E9*0.07+'Fluxo de caixa 03'!E9</f>
        <v>#REF!</v>
      </c>
      <c r="F9" s="18" t="e">
        <f>'Fluxo de caixa 03'!F9*0.07+'Fluxo de caixa 03'!F9</f>
        <v>#REF!</v>
      </c>
      <c r="G9" s="18" t="e">
        <f>'Fluxo de caixa 03'!G9*0.07+'Fluxo de caixa 03'!G9</f>
        <v>#REF!</v>
      </c>
      <c r="H9" s="18" t="e">
        <f>'Fluxo de caixa 03'!H9*0.07+'Fluxo de caixa 03'!H9</f>
        <v>#REF!</v>
      </c>
      <c r="I9" s="18" t="e">
        <f>'Fluxo de caixa 03'!I9*0.07+'Fluxo de caixa 03'!I9</f>
        <v>#REF!</v>
      </c>
      <c r="J9" s="18" t="e">
        <f>'Fluxo de caixa 03'!J9*0.07+'Fluxo de caixa 03'!J9</f>
        <v>#REF!</v>
      </c>
      <c r="K9" s="18" t="e">
        <f>'Fluxo de caixa 03'!K9*0.07+'Fluxo de caixa 03'!K9</f>
        <v>#REF!</v>
      </c>
      <c r="L9" s="18" t="e">
        <f>'Fluxo de caixa 03'!L9*0.07+'Fluxo de caixa 03'!L9</f>
        <v>#REF!</v>
      </c>
      <c r="M9" s="18" t="e">
        <f>'Fluxo de caixa 03'!M9*0.07+'Fluxo de caixa 03'!M9</f>
        <v>#REF!</v>
      </c>
      <c r="N9" s="18" t="e">
        <f>'Fluxo de caixa 03'!N9*0.07+'Fluxo de caixa 03'!N9</f>
        <v>#REF!</v>
      </c>
      <c r="P9" s="15" t="e">
        <f t="shared" si="5"/>
        <v>#REF!</v>
      </c>
      <c r="R9" s="263">
        <v>455129.06495281134</v>
      </c>
    </row>
    <row r="10" spans="1:18">
      <c r="A10" s="17" t="str">
        <f>'[2]custos fixos anual'!A7:C7</f>
        <v>Energia Elétrica</v>
      </c>
      <c r="B10" s="17"/>
      <c r="C10" s="18" t="e">
        <f>'Fluxo de caixa 03'!C10*0.07+'Fluxo de caixa 03'!C10</f>
        <v>#REF!</v>
      </c>
      <c r="D10" s="18" t="e">
        <f>'Fluxo de caixa 03'!D10*0.07+'Fluxo de caixa 03'!D10</f>
        <v>#REF!</v>
      </c>
      <c r="E10" s="18" t="e">
        <f>'Fluxo de caixa 03'!E10*0.07+'Fluxo de caixa 03'!E10</f>
        <v>#REF!</v>
      </c>
      <c r="F10" s="18" t="e">
        <f>'Fluxo de caixa 03'!F10*0.07+'Fluxo de caixa 03'!F10</f>
        <v>#REF!</v>
      </c>
      <c r="G10" s="18" t="e">
        <f>'Fluxo de caixa 03'!G10*0.07+'Fluxo de caixa 03'!G10</f>
        <v>#REF!</v>
      </c>
      <c r="H10" s="18" t="e">
        <f>'Fluxo de caixa 03'!H10*0.07+'Fluxo de caixa 03'!H10</f>
        <v>#REF!</v>
      </c>
      <c r="I10" s="18" t="e">
        <f>'Fluxo de caixa 03'!I10*0.07+'Fluxo de caixa 03'!I10</f>
        <v>#REF!</v>
      </c>
      <c r="J10" s="18" t="e">
        <f>'Fluxo de caixa 03'!J10*0.07+'Fluxo de caixa 03'!J10</f>
        <v>#REF!</v>
      </c>
      <c r="K10" s="18" t="e">
        <f>'Fluxo de caixa 03'!K10*0.07+'Fluxo de caixa 03'!K10</f>
        <v>#REF!</v>
      </c>
      <c r="L10" s="18" t="e">
        <f>'Fluxo de caixa 03'!L10*0.07+'Fluxo de caixa 03'!L10</f>
        <v>#REF!</v>
      </c>
      <c r="M10" s="18" t="e">
        <f>'Fluxo de caixa 03'!M10*0.07+'Fluxo de caixa 03'!M10</f>
        <v>#REF!</v>
      </c>
      <c r="N10" s="18" t="e">
        <f>'Fluxo de caixa 03'!N10*0.07+'Fluxo de caixa 03'!N10</f>
        <v>#REF!</v>
      </c>
      <c r="P10" s="15" t="e">
        <f t="shared" si="5"/>
        <v>#REF!</v>
      </c>
      <c r="R10" s="263">
        <v>612758.75148134027</v>
      </c>
    </row>
    <row r="11" spans="1:18">
      <c r="A11" s="17" t="str">
        <f>'[2]custos fixos anual'!A8:C8</f>
        <v>Internet</v>
      </c>
      <c r="B11" s="17"/>
      <c r="C11" s="18" t="e">
        <f>'Fluxo de caixa 03'!C11*0.07+'Fluxo de caixa 03'!C11</f>
        <v>#REF!</v>
      </c>
      <c r="D11" s="18" t="e">
        <f>'Fluxo de caixa 03'!D11*0.07+'Fluxo de caixa 03'!D11</f>
        <v>#REF!</v>
      </c>
      <c r="E11" s="18" t="e">
        <f>'Fluxo de caixa 03'!E11*0.07+'Fluxo de caixa 03'!E11</f>
        <v>#REF!</v>
      </c>
      <c r="F11" s="18" t="e">
        <f>'Fluxo de caixa 03'!F11*0.07+'Fluxo de caixa 03'!F11</f>
        <v>#REF!</v>
      </c>
      <c r="G11" s="18" t="e">
        <f>'Fluxo de caixa 03'!G11*0.07+'Fluxo de caixa 03'!G11</f>
        <v>#REF!</v>
      </c>
      <c r="H11" s="18" t="e">
        <f>'Fluxo de caixa 03'!H11*0.07+'Fluxo de caixa 03'!H11</f>
        <v>#REF!</v>
      </c>
      <c r="I11" s="18" t="e">
        <f>'Fluxo de caixa 03'!I11*0.07+'Fluxo de caixa 03'!I11</f>
        <v>#REF!</v>
      </c>
      <c r="J11" s="18" t="e">
        <f>'Fluxo de caixa 03'!J11*0.07+'Fluxo de caixa 03'!J11</f>
        <v>#REF!</v>
      </c>
      <c r="K11" s="18" t="e">
        <f>'Fluxo de caixa 03'!K11*0.07+'Fluxo de caixa 03'!K11</f>
        <v>#REF!</v>
      </c>
      <c r="L11" s="18" t="e">
        <f>'Fluxo de caixa 03'!L11*0.07+'Fluxo de caixa 03'!L11</f>
        <v>#REF!</v>
      </c>
      <c r="M11" s="18" t="e">
        <f>'Fluxo de caixa 03'!M11*0.07+'Fluxo de caixa 03'!M11</f>
        <v>#REF!</v>
      </c>
      <c r="N11" s="18" t="e">
        <f>'Fluxo de caixa 03'!N11*0.07+'Fluxo de caixa 03'!N11</f>
        <v>#REF!</v>
      </c>
      <c r="P11" s="15" t="e">
        <f t="shared" si="5"/>
        <v>#REF!</v>
      </c>
      <c r="R11" s="263">
        <v>455129.06495281134</v>
      </c>
    </row>
    <row r="12" spans="1:18">
      <c r="A12" s="17" t="str">
        <f>'[2]custos fixos anual'!A9:C9</f>
        <v>Telefone</v>
      </c>
      <c r="B12" s="17"/>
      <c r="C12" s="18" t="e">
        <f>'Fluxo de caixa 03'!C12*0.07+'Fluxo de caixa 03'!C12</f>
        <v>#REF!</v>
      </c>
      <c r="D12" s="18" t="e">
        <f>'Fluxo de caixa 03'!D12*0.07+'Fluxo de caixa 03'!D12</f>
        <v>#REF!</v>
      </c>
      <c r="E12" s="18" t="e">
        <f>'Fluxo de caixa 03'!E12*0.07+'Fluxo de caixa 03'!E12</f>
        <v>#REF!</v>
      </c>
      <c r="F12" s="18" t="e">
        <f>'Fluxo de caixa 03'!F12*0.07+'Fluxo de caixa 03'!F12</f>
        <v>#REF!</v>
      </c>
      <c r="G12" s="18" t="e">
        <f>'Fluxo de caixa 03'!G12*0.07+'Fluxo de caixa 03'!G12</f>
        <v>#REF!</v>
      </c>
      <c r="H12" s="18" t="e">
        <f>'Fluxo de caixa 03'!H12*0.07+'Fluxo de caixa 03'!H12</f>
        <v>#REF!</v>
      </c>
      <c r="I12" s="18" t="e">
        <f>'Fluxo de caixa 03'!I12*0.07+'Fluxo de caixa 03'!I12</f>
        <v>#REF!</v>
      </c>
      <c r="J12" s="18" t="e">
        <f>'Fluxo de caixa 03'!J12*0.07+'Fluxo de caixa 03'!J12</f>
        <v>#REF!</v>
      </c>
      <c r="K12" s="18" t="e">
        <f>'Fluxo de caixa 03'!K12*0.07+'Fluxo de caixa 03'!K12</f>
        <v>#REF!</v>
      </c>
      <c r="L12" s="18" t="e">
        <f>'Fluxo de caixa 03'!L12*0.07+'Fluxo de caixa 03'!L12</f>
        <v>#REF!</v>
      </c>
      <c r="M12" s="18" t="e">
        <f>'Fluxo de caixa 03'!M12*0.07+'Fluxo de caixa 03'!M12</f>
        <v>#REF!</v>
      </c>
      <c r="N12" s="18" t="e">
        <f>'Fluxo de caixa 03'!N12*0.07+'Fluxo de caixa 03'!N12</f>
        <v>#REF!</v>
      </c>
      <c r="P12" s="15" t="e">
        <f t="shared" si="5"/>
        <v>#REF!</v>
      </c>
      <c r="R12" s="263">
        <v>455129.06495281134</v>
      </c>
    </row>
    <row r="13" spans="1:18">
      <c r="A13" s="17" t="str">
        <f>'[2]custos fixos anual'!A13:C13</f>
        <v>Aluguel</v>
      </c>
      <c r="B13" s="17"/>
      <c r="C13" s="18">
        <f>'Fluxo de caixa 03'!C13*0.07+'Fluxo de caixa 03'!C13</f>
        <v>2739.2</v>
      </c>
      <c r="D13" s="18">
        <f>'Fluxo de caixa 03'!D13*0.07+'Fluxo de caixa 03'!D13</f>
        <v>2739.2</v>
      </c>
      <c r="E13" s="18">
        <f>'Fluxo de caixa 03'!E13*0.07+'Fluxo de caixa 03'!E13</f>
        <v>2739.2</v>
      </c>
      <c r="F13" s="18">
        <f>'Fluxo de caixa 03'!F13*0.07+'Fluxo de caixa 03'!F13</f>
        <v>2739.2</v>
      </c>
      <c r="G13" s="18">
        <f>'Fluxo de caixa 03'!G13*0.07+'Fluxo de caixa 03'!G13</f>
        <v>2739.2</v>
      </c>
      <c r="H13" s="18">
        <f>'Fluxo de caixa 03'!H13*0.07+'Fluxo de caixa 03'!H13</f>
        <v>2739.2</v>
      </c>
      <c r="I13" s="18">
        <f>'Fluxo de caixa 03'!I13*0.07+'Fluxo de caixa 03'!I13</f>
        <v>2739.2</v>
      </c>
      <c r="J13" s="18">
        <f>'Fluxo de caixa 03'!J13*0.07+'Fluxo de caixa 03'!J13</f>
        <v>2739.2</v>
      </c>
      <c r="K13" s="18">
        <f>'Fluxo de caixa 03'!K13*0.07+'Fluxo de caixa 03'!K13</f>
        <v>2739.2</v>
      </c>
      <c r="L13" s="18">
        <f>'Fluxo de caixa 03'!L13*0.07+'Fluxo de caixa 03'!L13</f>
        <v>2739.2</v>
      </c>
      <c r="M13" s="18">
        <f>'Fluxo de caixa 03'!M13*0.07+'Fluxo de caixa 03'!M13</f>
        <v>2739.2</v>
      </c>
      <c r="N13" s="18">
        <f>'Fluxo de caixa 03'!N13*0.07+'Fluxo de caixa 03'!N13</f>
        <v>2739.2</v>
      </c>
      <c r="P13" s="15">
        <f t="shared" si="5"/>
        <v>32870.400000000001</v>
      </c>
      <c r="R13" s="263">
        <v>455129.06495281134</v>
      </c>
    </row>
    <row r="14" spans="1:18">
      <c r="A14" s="17" t="str">
        <f>'[2]custos fixos anual'!A17:C17</f>
        <v>IPVA</v>
      </c>
      <c r="B14" s="17"/>
      <c r="C14" s="18" t="e">
        <f>'Fluxo de Caixa 01'!#REF!</f>
        <v>#REF!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P14" s="15" t="e">
        <f t="shared" si="5"/>
        <v>#REF!</v>
      </c>
      <c r="R14" s="263">
        <v>612758.75148134027</v>
      </c>
    </row>
    <row r="15" spans="1:18" s="14" customFormat="1">
      <c r="A15" s="12" t="s">
        <v>46</v>
      </c>
      <c r="B15" s="12"/>
      <c r="C15" s="13" t="e">
        <f>SUM(C16:C19)</f>
        <v>#REF!</v>
      </c>
      <c r="D15" s="13" t="e">
        <f t="shared" ref="D15:N15" si="7">SUM(D16:D19)</f>
        <v>#REF!</v>
      </c>
      <c r="E15" s="13" t="e">
        <f t="shared" si="7"/>
        <v>#REF!</v>
      </c>
      <c r="F15" s="13" t="e">
        <f t="shared" si="7"/>
        <v>#REF!</v>
      </c>
      <c r="G15" s="13" t="e">
        <f t="shared" si="7"/>
        <v>#REF!</v>
      </c>
      <c r="H15" s="13" t="e">
        <f t="shared" si="7"/>
        <v>#REF!</v>
      </c>
      <c r="I15" s="13" t="e">
        <f t="shared" si="7"/>
        <v>#REF!</v>
      </c>
      <c r="J15" s="13" t="e">
        <f t="shared" si="7"/>
        <v>#REF!</v>
      </c>
      <c r="K15" s="13" t="e">
        <f t="shared" si="7"/>
        <v>#REF!</v>
      </c>
      <c r="L15" s="13" t="e">
        <f t="shared" si="7"/>
        <v>#REF!</v>
      </c>
      <c r="M15" s="13" t="e">
        <f t="shared" si="7"/>
        <v>#REF!</v>
      </c>
      <c r="N15" s="13" t="e">
        <f t="shared" si="7"/>
        <v>#REF!</v>
      </c>
      <c r="P15" s="15" t="e">
        <f t="shared" si="5"/>
        <v>#REF!</v>
      </c>
    </row>
    <row r="16" spans="1:18" s="14" customFormat="1">
      <c r="A16" s="17" t="s">
        <v>190</v>
      </c>
      <c r="B16" s="12"/>
      <c r="C16" s="18">
        <v>230</v>
      </c>
      <c r="D16" s="18">
        <v>230</v>
      </c>
      <c r="E16" s="18">
        <v>230</v>
      </c>
      <c r="F16" s="18">
        <v>230</v>
      </c>
      <c r="G16" s="18">
        <v>230</v>
      </c>
      <c r="H16" s="18">
        <v>230</v>
      </c>
      <c r="I16" s="18">
        <v>230</v>
      </c>
      <c r="J16" s="18">
        <v>230</v>
      </c>
      <c r="K16" s="18">
        <v>230</v>
      </c>
      <c r="L16" s="18">
        <v>230</v>
      </c>
      <c r="M16" s="18">
        <v>230</v>
      </c>
      <c r="N16" s="18">
        <v>230</v>
      </c>
      <c r="P16" s="15">
        <f t="shared" si="5"/>
        <v>2760</v>
      </c>
    </row>
    <row r="17" spans="1:17" s="14" customFormat="1">
      <c r="A17" s="17" t="s">
        <v>309</v>
      </c>
      <c r="B17" s="207">
        <v>0.7</v>
      </c>
      <c r="C17" s="18" t="e">
        <f>Demanda!B30*'Fluxo de Caixa 04'!$B$17</f>
        <v>#REF!</v>
      </c>
      <c r="D17" s="18" t="e">
        <f>Demanda!C30*'Fluxo de Caixa 04'!$B$17</f>
        <v>#REF!</v>
      </c>
      <c r="E17" s="18" t="e">
        <f>Demanda!D30*'Fluxo de Caixa 04'!$B$17</f>
        <v>#REF!</v>
      </c>
      <c r="F17" s="18" t="e">
        <f>Demanda!E30*'Fluxo de Caixa 04'!$B$17</f>
        <v>#REF!</v>
      </c>
      <c r="G17" s="18" t="e">
        <f>Demanda!F30*'Fluxo de Caixa 04'!$B$17</f>
        <v>#REF!</v>
      </c>
      <c r="H17" s="18" t="e">
        <f>Demanda!G30*'Fluxo de Caixa 04'!$B$17</f>
        <v>#REF!</v>
      </c>
      <c r="I17" s="18" t="e">
        <f>Demanda!H30*'Fluxo de Caixa 04'!$B$17</f>
        <v>#REF!</v>
      </c>
      <c r="J17" s="18" t="e">
        <f>Demanda!I30*'Fluxo de Caixa 04'!$B$17</f>
        <v>#REF!</v>
      </c>
      <c r="K17" s="18" t="e">
        <f>Demanda!J30*'Fluxo de Caixa 04'!$B$17</f>
        <v>#REF!</v>
      </c>
      <c r="L17" s="18" t="e">
        <f>Demanda!K30*'Fluxo de Caixa 04'!$B$17</f>
        <v>#REF!</v>
      </c>
      <c r="M17" s="18" t="e">
        <f>Demanda!L30*'Fluxo de Caixa 04'!$B$17</f>
        <v>#REF!</v>
      </c>
      <c r="N17" s="18" t="e">
        <f>Demanda!M30*'Fluxo de Caixa 04'!$B$17</f>
        <v>#REF!</v>
      </c>
      <c r="P17" s="15" t="e">
        <f t="shared" si="5"/>
        <v>#REF!</v>
      </c>
    </row>
    <row r="18" spans="1:17" s="14" customFormat="1">
      <c r="A18" s="17" t="s">
        <v>308</v>
      </c>
      <c r="B18" s="207">
        <v>0.3</v>
      </c>
      <c r="C18" s="18" t="e">
        <f>Demanda!B30*'Fluxo de Caixa 04'!$B$18</f>
        <v>#REF!</v>
      </c>
      <c r="D18" s="18" t="e">
        <f>Demanda!C30*'Fluxo de Caixa 04'!$B$18</f>
        <v>#REF!</v>
      </c>
      <c r="E18" s="18" t="e">
        <f>Demanda!D30*'Fluxo de Caixa 04'!$B$18</f>
        <v>#REF!</v>
      </c>
      <c r="F18" s="18" t="e">
        <f>Demanda!E30*'Fluxo de Caixa 04'!$B$18</f>
        <v>#REF!</v>
      </c>
      <c r="G18" s="18" t="e">
        <f>Demanda!F30*'Fluxo de Caixa 04'!$B$18</f>
        <v>#REF!</v>
      </c>
      <c r="H18" s="18" t="e">
        <f>Demanda!G30*'Fluxo de Caixa 04'!$B$18</f>
        <v>#REF!</v>
      </c>
      <c r="I18" s="18" t="e">
        <f>Demanda!H30*'Fluxo de Caixa 04'!$B$18</f>
        <v>#REF!</v>
      </c>
      <c r="J18" s="18" t="e">
        <f>Demanda!I30*'Fluxo de Caixa 04'!$B$18</f>
        <v>#REF!</v>
      </c>
      <c r="K18" s="18" t="e">
        <f>Demanda!J30*'Fluxo de Caixa 04'!$B$18</f>
        <v>#REF!</v>
      </c>
      <c r="L18" s="18" t="e">
        <f>Demanda!K30*'Fluxo de Caixa 04'!$B$18</f>
        <v>#REF!</v>
      </c>
      <c r="M18" s="18" t="e">
        <f>Demanda!L30*'Fluxo de Caixa 04'!$B$18</f>
        <v>#REF!</v>
      </c>
      <c r="N18" s="18" t="e">
        <f>Demanda!M30*'Fluxo de Caixa 04'!$B$18</f>
        <v>#REF!</v>
      </c>
      <c r="P18" s="15" t="e">
        <f t="shared" si="5"/>
        <v>#REF!</v>
      </c>
    </row>
    <row r="19" spans="1:17">
      <c r="A19" s="11" t="s">
        <v>191</v>
      </c>
      <c r="B19" s="17"/>
      <c r="C19" s="18" t="e">
        <f>Demanda!B19</f>
        <v>#REF!</v>
      </c>
      <c r="D19" s="18" t="e">
        <f>Demanda!C19</f>
        <v>#REF!</v>
      </c>
      <c r="E19" s="18" t="e">
        <f>Demanda!D19</f>
        <v>#REF!</v>
      </c>
      <c r="F19" s="18" t="e">
        <f>Demanda!E19</f>
        <v>#REF!</v>
      </c>
      <c r="G19" s="18" t="e">
        <f>Demanda!F19</f>
        <v>#REF!</v>
      </c>
      <c r="H19" s="18" t="e">
        <f>Demanda!G19</f>
        <v>#REF!</v>
      </c>
      <c r="I19" s="18" t="e">
        <f>Demanda!H19</f>
        <v>#REF!</v>
      </c>
      <c r="J19" s="18" t="e">
        <f>Demanda!I19</f>
        <v>#REF!</v>
      </c>
      <c r="K19" s="18" t="e">
        <f>Demanda!J19</f>
        <v>#REF!</v>
      </c>
      <c r="L19" s="18" t="e">
        <f>Demanda!K19</f>
        <v>#REF!</v>
      </c>
      <c r="M19" s="18" t="e">
        <f>Demanda!L19</f>
        <v>#REF!</v>
      </c>
      <c r="N19" s="18" t="e">
        <f>Demanda!M19</f>
        <v>#REF!</v>
      </c>
      <c r="P19" s="100" t="e">
        <f t="shared" si="5"/>
        <v>#REF!</v>
      </c>
    </row>
    <row r="20" spans="1:17" s="14" customFormat="1">
      <c r="A20" s="12" t="s">
        <v>47</v>
      </c>
      <c r="B20" s="12"/>
      <c r="C20" s="13" t="e">
        <f>C21+C25+C27+C29</f>
        <v>#REF!</v>
      </c>
      <c r="D20" s="13" t="e">
        <f t="shared" ref="D20:N20" si="8">D21+D25+D27+D29</f>
        <v>#REF!</v>
      </c>
      <c r="E20" s="13" t="e">
        <f t="shared" si="8"/>
        <v>#REF!</v>
      </c>
      <c r="F20" s="13" t="e">
        <f t="shared" si="8"/>
        <v>#REF!</v>
      </c>
      <c r="G20" s="13" t="e">
        <f t="shared" si="8"/>
        <v>#REF!</v>
      </c>
      <c r="H20" s="13" t="e">
        <f t="shared" si="8"/>
        <v>#REF!</v>
      </c>
      <c r="I20" s="13" t="e">
        <f t="shared" si="8"/>
        <v>#REF!</v>
      </c>
      <c r="J20" s="13" t="e">
        <f t="shared" si="8"/>
        <v>#REF!</v>
      </c>
      <c r="K20" s="13" t="e">
        <f t="shared" si="8"/>
        <v>#REF!</v>
      </c>
      <c r="L20" s="13" t="e">
        <f t="shared" si="8"/>
        <v>#REF!</v>
      </c>
      <c r="M20" s="13" t="e">
        <f t="shared" si="8"/>
        <v>#REF!</v>
      </c>
      <c r="N20" s="13" t="e">
        <f t="shared" si="8"/>
        <v>#REF!</v>
      </c>
      <c r="P20" s="15" t="e">
        <f t="shared" si="5"/>
        <v>#REF!</v>
      </c>
    </row>
    <row r="21" spans="1:17" s="14" customFormat="1">
      <c r="A21" s="12" t="s">
        <v>48</v>
      </c>
      <c r="B21" s="12"/>
      <c r="C21" s="13" t="e">
        <f>SUM(C22:C23)</f>
        <v>#REF!</v>
      </c>
      <c r="D21" s="13" t="e">
        <f t="shared" ref="D21:N21" si="9">SUM(D22:D23)</f>
        <v>#REF!</v>
      </c>
      <c r="E21" s="13" t="e">
        <f t="shared" si="9"/>
        <v>#REF!</v>
      </c>
      <c r="F21" s="13" t="e">
        <f t="shared" si="9"/>
        <v>#REF!</v>
      </c>
      <c r="G21" s="13" t="e">
        <f t="shared" si="9"/>
        <v>#REF!</v>
      </c>
      <c r="H21" s="13" t="e">
        <f t="shared" si="9"/>
        <v>#REF!</v>
      </c>
      <c r="I21" s="13" t="e">
        <f t="shared" si="9"/>
        <v>#REF!</v>
      </c>
      <c r="J21" s="13" t="e">
        <f t="shared" si="9"/>
        <v>#REF!</v>
      </c>
      <c r="K21" s="13" t="e">
        <f t="shared" si="9"/>
        <v>#REF!</v>
      </c>
      <c r="L21" s="13" t="e">
        <f t="shared" si="9"/>
        <v>#REF!</v>
      </c>
      <c r="M21" s="13" t="e">
        <f t="shared" si="9"/>
        <v>#REF!</v>
      </c>
      <c r="N21" s="13" t="e">
        <f t="shared" si="9"/>
        <v>#REF!</v>
      </c>
      <c r="P21" s="15" t="e">
        <f t="shared" si="5"/>
        <v>#REF!</v>
      </c>
    </row>
    <row r="22" spans="1:17">
      <c r="A22" s="17" t="s">
        <v>363</v>
      </c>
      <c r="B22" s="206" t="e">
        <f>Simples!F6</f>
        <v>#REF!</v>
      </c>
      <c r="C22" s="18">
        <f>impostos!K52</f>
        <v>59656.042188689753</v>
      </c>
      <c r="D22" s="18">
        <f>impostos!L52</f>
        <v>59656.042188689753</v>
      </c>
      <c r="E22" s="18">
        <f>impostos!M52</f>
        <v>80317.35335041667</v>
      </c>
      <c r="F22" s="18">
        <f>impostos!N52</f>
        <v>159085.6536181565</v>
      </c>
      <c r="G22" s="18">
        <f>impostos!O52</f>
        <v>80317.35335041667</v>
      </c>
      <c r="H22" s="18">
        <f>impostos!P52</f>
        <v>59656.042188689753</v>
      </c>
      <c r="I22" s="18">
        <f>impostos!Q52</f>
        <v>59656.042188689753</v>
      </c>
      <c r="J22" s="18">
        <f>impostos!R52</f>
        <v>80317.35335041667</v>
      </c>
      <c r="K22" s="18">
        <f>impostos!S52</f>
        <v>59656.042188689753</v>
      </c>
      <c r="L22" s="18">
        <f>impostos!T52</f>
        <v>59656.042188689753</v>
      </c>
      <c r="M22" s="18">
        <f>impostos!U52</f>
        <v>59656.042188689753</v>
      </c>
      <c r="N22" s="18">
        <f>impostos!V52</f>
        <v>80317.35335041667</v>
      </c>
      <c r="P22" s="15">
        <f t="shared" si="5"/>
        <v>897947.36234065157</v>
      </c>
    </row>
    <row r="23" spans="1:17">
      <c r="A23" s="17" t="s">
        <v>49</v>
      </c>
      <c r="B23" s="205">
        <v>0.01</v>
      </c>
      <c r="C23" s="18" t="e">
        <f>C$3*$B23</f>
        <v>#REF!</v>
      </c>
      <c r="D23" s="18" t="e">
        <f t="shared" ref="D23:N23" si="10">D$3*$B23</f>
        <v>#REF!</v>
      </c>
      <c r="E23" s="18" t="e">
        <f t="shared" si="10"/>
        <v>#REF!</v>
      </c>
      <c r="F23" s="18" t="e">
        <f t="shared" si="10"/>
        <v>#REF!</v>
      </c>
      <c r="G23" s="18" t="e">
        <f t="shared" si="10"/>
        <v>#REF!</v>
      </c>
      <c r="H23" s="18" t="e">
        <f t="shared" si="10"/>
        <v>#REF!</v>
      </c>
      <c r="I23" s="18" t="e">
        <f t="shared" si="10"/>
        <v>#REF!</v>
      </c>
      <c r="J23" s="18" t="e">
        <f t="shared" si="10"/>
        <v>#REF!</v>
      </c>
      <c r="K23" s="18" t="e">
        <f t="shared" si="10"/>
        <v>#REF!</v>
      </c>
      <c r="L23" s="18" t="e">
        <f t="shared" si="10"/>
        <v>#REF!</v>
      </c>
      <c r="M23" s="18" t="e">
        <f t="shared" si="10"/>
        <v>#REF!</v>
      </c>
      <c r="N23" s="18" t="e">
        <f t="shared" si="10"/>
        <v>#REF!</v>
      </c>
      <c r="O23" s="18"/>
      <c r="P23" s="15" t="e">
        <f t="shared" si="5"/>
        <v>#REF!</v>
      </c>
    </row>
    <row r="24" spans="1:17">
      <c r="A24" s="17" t="s">
        <v>364</v>
      </c>
      <c r="B24" s="205"/>
      <c r="C24" s="18">
        <v>0</v>
      </c>
      <c r="D24" s="18">
        <v>0</v>
      </c>
      <c r="E24" s="18" t="e">
        <f>IRPJ!G28</f>
        <v>#REF!</v>
      </c>
      <c r="F24" s="18">
        <v>0</v>
      </c>
      <c r="G24" s="18">
        <v>0</v>
      </c>
      <c r="H24" s="18" t="e">
        <f>IRPJ!G29</f>
        <v>#REF!</v>
      </c>
      <c r="I24" s="18">
        <v>0</v>
      </c>
      <c r="J24" s="18">
        <v>0</v>
      </c>
      <c r="K24" s="18" t="e">
        <f>IRPJ!G30</f>
        <v>#REF!</v>
      </c>
      <c r="L24" s="18">
        <v>0</v>
      </c>
      <c r="M24" s="18">
        <v>0</v>
      </c>
      <c r="N24" s="18" t="e">
        <f>IRPJ!G31</f>
        <v>#REF!</v>
      </c>
      <c r="O24" s="18"/>
      <c r="P24" s="15" t="e">
        <f t="shared" si="5"/>
        <v>#REF!</v>
      </c>
    </row>
    <row r="25" spans="1:17" s="14" customFormat="1">
      <c r="A25" s="12" t="s">
        <v>50</v>
      </c>
      <c r="B25" s="12"/>
      <c r="C25" s="13">
        <f>C26</f>
        <v>10000</v>
      </c>
      <c r="D25" s="13">
        <f t="shared" ref="D25:N25" si="11">D26</f>
        <v>10000</v>
      </c>
      <c r="E25" s="13">
        <f t="shared" si="11"/>
        <v>3500</v>
      </c>
      <c r="F25" s="13">
        <f t="shared" si="11"/>
        <v>0</v>
      </c>
      <c r="G25" s="13">
        <f t="shared" si="11"/>
        <v>3500</v>
      </c>
      <c r="H25" s="13">
        <f t="shared" si="11"/>
        <v>0</v>
      </c>
      <c r="I25" s="13">
        <f t="shared" si="11"/>
        <v>3500</v>
      </c>
      <c r="J25" s="13">
        <f t="shared" si="11"/>
        <v>0</v>
      </c>
      <c r="K25" s="13">
        <f t="shared" si="11"/>
        <v>3500</v>
      </c>
      <c r="L25" s="13">
        <f t="shared" si="11"/>
        <v>0</v>
      </c>
      <c r="M25" s="13">
        <f t="shared" si="11"/>
        <v>3500</v>
      </c>
      <c r="N25" s="13">
        <f t="shared" si="11"/>
        <v>0</v>
      </c>
      <c r="P25" s="15">
        <f t="shared" si="5"/>
        <v>37500</v>
      </c>
      <c r="Q25" s="25"/>
    </row>
    <row r="26" spans="1:17">
      <c r="A26" s="17" t="str">
        <f>'[2]custos fixos anual'!A15:C15</f>
        <v>Despesa com Marketing</v>
      </c>
      <c r="B26" s="17"/>
      <c r="C26" s="18">
        <v>10000</v>
      </c>
      <c r="D26" s="18">
        <v>10000</v>
      </c>
      <c r="E26" s="18">
        <v>3500</v>
      </c>
      <c r="F26" s="18"/>
      <c r="G26" s="18">
        <v>3500</v>
      </c>
      <c r="H26" s="18"/>
      <c r="I26" s="18">
        <v>3500</v>
      </c>
      <c r="J26" s="18"/>
      <c r="K26" s="18">
        <v>3500</v>
      </c>
      <c r="L26" s="18"/>
      <c r="M26" s="18">
        <v>3500</v>
      </c>
      <c r="N26" s="18"/>
      <c r="P26" s="15">
        <f>SUM(C26:N26)</f>
        <v>37500</v>
      </c>
    </row>
    <row r="27" spans="1:17" s="14" customFormat="1">
      <c r="A27" s="12" t="s">
        <v>51</v>
      </c>
      <c r="B27" s="12"/>
      <c r="C27" s="13" t="e">
        <f>C28</f>
        <v>#REF!</v>
      </c>
      <c r="D27" s="13" t="e">
        <f t="shared" ref="D27:N27" si="12">D28</f>
        <v>#REF!</v>
      </c>
      <c r="E27" s="13" t="e">
        <f t="shared" si="12"/>
        <v>#REF!</v>
      </c>
      <c r="F27" s="13" t="e">
        <f t="shared" si="12"/>
        <v>#REF!</v>
      </c>
      <c r="G27" s="13" t="e">
        <f t="shared" si="12"/>
        <v>#REF!</v>
      </c>
      <c r="H27" s="13" t="e">
        <f t="shared" si="12"/>
        <v>#REF!</v>
      </c>
      <c r="I27" s="13" t="e">
        <f t="shared" si="12"/>
        <v>#REF!</v>
      </c>
      <c r="J27" s="13" t="e">
        <f t="shared" si="12"/>
        <v>#REF!</v>
      </c>
      <c r="K27" s="13" t="e">
        <f t="shared" si="12"/>
        <v>#REF!</v>
      </c>
      <c r="L27" s="13" t="e">
        <f t="shared" si="12"/>
        <v>#REF!</v>
      </c>
      <c r="M27" s="13" t="e">
        <f t="shared" si="12"/>
        <v>#REF!</v>
      </c>
      <c r="N27" s="13" t="e">
        <f t="shared" si="12"/>
        <v>#REF!</v>
      </c>
      <c r="P27" s="15" t="e">
        <f t="shared" si="5"/>
        <v>#REF!</v>
      </c>
    </row>
    <row r="28" spans="1:17">
      <c r="A28" s="17" t="s">
        <v>198</v>
      </c>
      <c r="B28" s="19">
        <v>0.5</v>
      </c>
      <c r="C28" s="18" t="e">
        <f>'Fluxo de caixa 03'!C28*0.07+'Fluxo de caixa 03'!C28</f>
        <v>#REF!</v>
      </c>
      <c r="D28" s="18" t="e">
        <f>'Fluxo de caixa 03'!D28*0.07+'Fluxo de caixa 03'!D28</f>
        <v>#REF!</v>
      </c>
      <c r="E28" s="18" t="e">
        <f>'Fluxo de caixa 03'!E28*0.07+'Fluxo de caixa 03'!E28</f>
        <v>#REF!</v>
      </c>
      <c r="F28" s="18" t="e">
        <f>'Fluxo de caixa 03'!F28*0.07+'Fluxo de caixa 03'!F28</f>
        <v>#REF!</v>
      </c>
      <c r="G28" s="18" t="e">
        <f>'Fluxo de caixa 03'!G28*0.07+'Fluxo de caixa 03'!G28</f>
        <v>#REF!</v>
      </c>
      <c r="H28" s="18" t="e">
        <f>'Fluxo de caixa 03'!H28*0.07+'Fluxo de caixa 03'!H28</f>
        <v>#REF!</v>
      </c>
      <c r="I28" s="18" t="e">
        <f>'Fluxo de caixa 03'!I28*0.07+'Fluxo de caixa 03'!I28</f>
        <v>#REF!</v>
      </c>
      <c r="J28" s="18" t="e">
        <f>'Fluxo de caixa 03'!J28*0.07+'Fluxo de caixa 03'!J28</f>
        <v>#REF!</v>
      </c>
      <c r="K28" s="18" t="e">
        <f>'Fluxo de caixa 03'!K28*0.07+'Fluxo de caixa 03'!K28</f>
        <v>#REF!</v>
      </c>
      <c r="L28" s="18" t="e">
        <f>'Fluxo de caixa 03'!L28*0.07+'Fluxo de caixa 03'!L28</f>
        <v>#REF!</v>
      </c>
      <c r="M28" s="18" t="e">
        <f>'Fluxo de caixa 03'!M28*0.07+'Fluxo de caixa 03'!M28</f>
        <v>#REF!</v>
      </c>
      <c r="N28" s="18" t="e">
        <f>'Fluxo de caixa 03'!N28*0.07+'Fluxo de caixa 03'!N28</f>
        <v>#REF!</v>
      </c>
      <c r="P28" s="15" t="e">
        <f t="shared" si="5"/>
        <v>#REF!</v>
      </c>
    </row>
    <row r="29" spans="1:17" s="14" customFormat="1">
      <c r="A29" s="12" t="s">
        <v>52</v>
      </c>
      <c r="B29" s="12"/>
      <c r="C29" s="13" t="e">
        <f t="shared" ref="C29:N29" si="13">SUM(C30:C33)</f>
        <v>#REF!</v>
      </c>
      <c r="D29" s="13" t="e">
        <f t="shared" si="13"/>
        <v>#REF!</v>
      </c>
      <c r="E29" s="13" t="e">
        <f t="shared" si="13"/>
        <v>#REF!</v>
      </c>
      <c r="F29" s="13" t="e">
        <f t="shared" si="13"/>
        <v>#REF!</v>
      </c>
      <c r="G29" s="13" t="e">
        <f t="shared" si="13"/>
        <v>#REF!</v>
      </c>
      <c r="H29" s="13" t="e">
        <f t="shared" si="13"/>
        <v>#REF!</v>
      </c>
      <c r="I29" s="13" t="e">
        <f t="shared" si="13"/>
        <v>#REF!</v>
      </c>
      <c r="J29" s="13" t="e">
        <f t="shared" si="13"/>
        <v>#REF!</v>
      </c>
      <c r="K29" s="13" t="e">
        <f t="shared" si="13"/>
        <v>#REF!</v>
      </c>
      <c r="L29" s="13" t="e">
        <f t="shared" si="13"/>
        <v>#REF!</v>
      </c>
      <c r="M29" s="13" t="e">
        <f t="shared" si="13"/>
        <v>#REF!</v>
      </c>
      <c r="N29" s="13" t="e">
        <f t="shared" si="13"/>
        <v>#REF!</v>
      </c>
      <c r="P29" s="15" t="e">
        <f t="shared" si="5"/>
        <v>#REF!</v>
      </c>
      <c r="Q29" s="25"/>
    </row>
    <row r="30" spans="1:17">
      <c r="A30" s="17" t="str">
        <f>'[2]custos fixos anual'!A12:C12</f>
        <v>Contador</v>
      </c>
      <c r="B30" s="17"/>
      <c r="C30" s="18" t="e">
        <f>'Fluxo de caixa 03'!C30*0.07+'Fluxo de caixa 03'!C30</f>
        <v>#REF!</v>
      </c>
      <c r="D30" s="18" t="e">
        <f>'Fluxo de caixa 03'!D30*0.07+'Fluxo de caixa 03'!D30</f>
        <v>#REF!</v>
      </c>
      <c r="E30" s="18" t="e">
        <f>'Fluxo de caixa 03'!E30*0.07+'Fluxo de caixa 03'!E30</f>
        <v>#REF!</v>
      </c>
      <c r="F30" s="18" t="e">
        <f>'Fluxo de caixa 03'!F30*0.07+'Fluxo de caixa 03'!F30</f>
        <v>#REF!</v>
      </c>
      <c r="G30" s="18" t="e">
        <f>'Fluxo de caixa 03'!G30*0.07+'Fluxo de caixa 03'!G30</f>
        <v>#REF!</v>
      </c>
      <c r="H30" s="18" t="e">
        <f>'Fluxo de caixa 03'!H30*0.07+'Fluxo de caixa 03'!H30</f>
        <v>#REF!</v>
      </c>
      <c r="I30" s="18" t="e">
        <f>'Fluxo de caixa 03'!I30*0.07+'Fluxo de caixa 03'!I30</f>
        <v>#REF!</v>
      </c>
      <c r="J30" s="18" t="e">
        <f>'Fluxo de caixa 03'!J30*0.07+'Fluxo de caixa 03'!J30</f>
        <v>#REF!</v>
      </c>
      <c r="K30" s="18" t="e">
        <f>'Fluxo de caixa 03'!K30*0.07+'Fluxo de caixa 03'!K30</f>
        <v>#REF!</v>
      </c>
      <c r="L30" s="18" t="e">
        <f>'Fluxo de caixa 03'!L30*0.07+'Fluxo de caixa 03'!L30</f>
        <v>#REF!</v>
      </c>
      <c r="M30" s="18" t="e">
        <f>'Fluxo de caixa 03'!M30*0.07+'Fluxo de caixa 03'!M30</f>
        <v>#REF!</v>
      </c>
      <c r="N30" s="18" t="e">
        <f>'Fluxo de caixa 03'!N30*0.07+'Fluxo de caixa 03'!N30</f>
        <v>#REF!</v>
      </c>
      <c r="P30" s="15" t="e">
        <f>SUM(C30:N30)</f>
        <v>#REF!</v>
      </c>
    </row>
    <row r="31" spans="1:17">
      <c r="A31" s="17" t="str">
        <f>'[2]custos fixos anual'!A10:C10</f>
        <v>Material de Escritório</v>
      </c>
      <c r="B31" s="17"/>
      <c r="C31" s="18">
        <f>'Fluxo de caixa 03'!C31*0.07+'Fluxo de caixa 03'!C31</f>
        <v>0</v>
      </c>
      <c r="D31" s="18">
        <f>'Fluxo de caixa 03'!D31*0.07+'Fluxo de caixa 03'!D31</f>
        <v>0</v>
      </c>
      <c r="E31" s="18">
        <f>'Fluxo de caixa 03'!E31*0.07+'Fluxo de caixa 03'!E31</f>
        <v>0</v>
      </c>
      <c r="F31" s="18">
        <f>'Fluxo de caixa 03'!F31*0.07+'Fluxo de caixa 03'!F31</f>
        <v>0</v>
      </c>
      <c r="G31" s="18">
        <f>'Fluxo de caixa 03'!G31*0.07+'Fluxo de caixa 03'!G31</f>
        <v>0</v>
      </c>
      <c r="H31" s="18">
        <f>'Fluxo de caixa 03'!H31*0.07+'Fluxo de caixa 03'!H31</f>
        <v>0</v>
      </c>
      <c r="I31" s="18">
        <f>'Fluxo de caixa 03'!I31*0.07+'Fluxo de caixa 03'!I31</f>
        <v>0</v>
      </c>
      <c r="J31" s="18">
        <f>'Fluxo de caixa 03'!J31*0.07+'Fluxo de caixa 03'!J31</f>
        <v>0</v>
      </c>
      <c r="K31" s="18">
        <f>'Fluxo de caixa 03'!K31*0.07+'Fluxo de caixa 03'!K31</f>
        <v>0</v>
      </c>
      <c r="L31" s="18">
        <f>'Fluxo de caixa 03'!L31*0.07+'Fluxo de caixa 03'!L31</f>
        <v>0</v>
      </c>
      <c r="M31" s="18">
        <f>'Fluxo de caixa 03'!M31*0.07+'Fluxo de caixa 03'!M31</f>
        <v>0</v>
      </c>
      <c r="N31" s="18">
        <f>'Fluxo de caixa 03'!N31*0.07+'Fluxo de caixa 03'!N31</f>
        <v>0</v>
      </c>
      <c r="P31" s="15">
        <f>SUM(C31:N31)</f>
        <v>0</v>
      </c>
    </row>
    <row r="32" spans="1:17">
      <c r="A32" s="17" t="str">
        <f>'[2]custos fixos anual'!A14:C14</f>
        <v>Empréstimo</v>
      </c>
      <c r="B32" s="17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P32" s="15">
        <f>SUM(C32:N32)</f>
        <v>0</v>
      </c>
    </row>
    <row r="33" spans="1:16">
      <c r="A33" s="17" t="str">
        <f>'[2]custos fixos anual'!A16:C16</f>
        <v>Salário + Encargos</v>
      </c>
      <c r="B33" s="17"/>
      <c r="C33" s="18" t="e">
        <f>_xlfn.SINGLE(Salários!#REF!)</f>
        <v>#REF!</v>
      </c>
      <c r="D33" s="18" t="e">
        <f t="shared" ref="D33:N33" si="14">C33</f>
        <v>#REF!</v>
      </c>
      <c r="E33" s="18" t="e">
        <f t="shared" si="14"/>
        <v>#REF!</v>
      </c>
      <c r="F33" s="18" t="e">
        <f t="shared" si="14"/>
        <v>#REF!</v>
      </c>
      <c r="G33" s="18" t="e">
        <f t="shared" si="14"/>
        <v>#REF!</v>
      </c>
      <c r="H33" s="18" t="e">
        <f t="shared" si="14"/>
        <v>#REF!</v>
      </c>
      <c r="I33" s="18" t="e">
        <f t="shared" si="14"/>
        <v>#REF!</v>
      </c>
      <c r="J33" s="18" t="e">
        <f t="shared" si="14"/>
        <v>#REF!</v>
      </c>
      <c r="K33" s="18" t="e">
        <f t="shared" si="14"/>
        <v>#REF!</v>
      </c>
      <c r="L33" s="18" t="e">
        <f t="shared" si="14"/>
        <v>#REF!</v>
      </c>
      <c r="M33" s="18" t="e">
        <f t="shared" si="14"/>
        <v>#REF!</v>
      </c>
      <c r="N33" s="18" t="e">
        <f t="shared" si="14"/>
        <v>#REF!</v>
      </c>
      <c r="P33" s="15" t="e">
        <f>SUM(C33:N33)</f>
        <v>#REF!</v>
      </c>
    </row>
    <row r="34" spans="1:16" s="14" customFormat="1">
      <c r="A34" s="12" t="s">
        <v>53</v>
      </c>
      <c r="B34" s="12"/>
      <c r="C34" s="13" t="e">
        <f t="shared" ref="C34:N34" si="15">C3-C6+C2</f>
        <v>#REF!</v>
      </c>
      <c r="D34" s="13" t="e">
        <f t="shared" si="15"/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si="15"/>
        <v>#REF!</v>
      </c>
      <c r="I34" s="13" t="e">
        <f t="shared" si="15"/>
        <v>#REF!</v>
      </c>
      <c r="J34" s="13" t="e">
        <f t="shared" si="15"/>
        <v>#REF!</v>
      </c>
      <c r="K34" s="13" t="e">
        <f t="shared" si="15"/>
        <v>#REF!</v>
      </c>
      <c r="L34" s="13" t="e">
        <f t="shared" si="15"/>
        <v>#REF!</v>
      </c>
      <c r="M34" s="13" t="e">
        <f t="shared" si="15"/>
        <v>#REF!</v>
      </c>
      <c r="N34" s="13" t="e">
        <f t="shared" si="15"/>
        <v>#REF!</v>
      </c>
      <c r="P34" s="15" t="e">
        <f>N34</f>
        <v>#REF!</v>
      </c>
    </row>
    <row r="35" spans="1:16" ht="10.5" customHeight="1">
      <c r="A35" s="17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P35" s="15"/>
    </row>
    <row r="36" spans="1:16" s="14" customFormat="1">
      <c r="A36" s="20"/>
      <c r="B36" s="1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P36" s="15"/>
    </row>
    <row r="37" spans="1:16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P37" s="15"/>
    </row>
    <row r="38" spans="1:16" s="14" customFormat="1">
      <c r="A38" s="12"/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P38" s="15"/>
    </row>
    <row r="39" spans="1:16">
      <c r="A39" s="17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>
      <c r="A40" s="12"/>
      <c r="B40" s="12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P41" s="15"/>
    </row>
    <row r="42" spans="1:16" s="14" customFormat="1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P42" s="15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4"/>
  <dimension ref="A1:R41"/>
  <sheetViews>
    <sheetView topLeftCell="B25" workbookViewId="0">
      <selection activeCell="C35" sqref="C35"/>
    </sheetView>
  </sheetViews>
  <sheetFormatPr defaultColWidth="9.140625" defaultRowHeight="12"/>
  <cols>
    <col min="1" max="1" width="29.7109375" style="11" bestFit="1" customWidth="1"/>
    <col min="2" max="2" width="7.7109375" style="11" customWidth="1"/>
    <col min="3" max="3" width="14" style="11" bestFit="1" customWidth="1"/>
    <col min="4" max="4" width="17.85546875" style="11" bestFit="1" customWidth="1"/>
    <col min="5" max="14" width="15.140625" style="11" bestFit="1" customWidth="1"/>
    <col min="15" max="15" width="4.140625" style="1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 thickBot="1"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8" s="14" customFormat="1">
      <c r="A2" s="12" t="s">
        <v>40</v>
      </c>
      <c r="B2" s="12"/>
      <c r="C2" s="13" t="e">
        <f>'Fluxo de Caixa 02'!P33</f>
        <v>#REF!</v>
      </c>
      <c r="D2" s="13" t="e">
        <f>C33</f>
        <v>#REF!</v>
      </c>
      <c r="E2" s="13" t="e">
        <f t="shared" ref="E2:N2" si="0">D33</f>
        <v>#REF!</v>
      </c>
      <c r="F2" s="13" t="e">
        <f t="shared" si="0"/>
        <v>#REF!</v>
      </c>
      <c r="G2" s="13" t="e">
        <f t="shared" si="0"/>
        <v>#REF!</v>
      </c>
      <c r="H2" s="13" t="e">
        <f t="shared" si="0"/>
        <v>#REF!</v>
      </c>
      <c r="I2" s="13" t="e">
        <f t="shared" si="0"/>
        <v>#REF!</v>
      </c>
      <c r="J2" s="13" t="e">
        <f t="shared" si="0"/>
        <v>#REF!</v>
      </c>
      <c r="K2" s="13" t="e">
        <f t="shared" si="0"/>
        <v>#REF!</v>
      </c>
      <c r="L2" s="13" t="e">
        <f t="shared" si="0"/>
        <v>#REF!</v>
      </c>
      <c r="M2" s="13" t="e">
        <f t="shared" si="0"/>
        <v>#REF!</v>
      </c>
      <c r="N2" s="13" t="e">
        <f t="shared" si="0"/>
        <v>#REF!</v>
      </c>
      <c r="P2" s="15" t="e">
        <f>N2</f>
        <v>#REF!</v>
      </c>
      <c r="Q2" s="15"/>
      <c r="R2" s="262" t="s">
        <v>14</v>
      </c>
    </row>
    <row r="3" spans="1:18">
      <c r="A3" s="12" t="s">
        <v>41</v>
      </c>
      <c r="B3" s="16"/>
      <c r="C3" s="13" t="e">
        <f>SUM(C4:C5)</f>
        <v>#REF!</v>
      </c>
      <c r="D3" s="13" t="e">
        <f>SUM(D4:D5)</f>
        <v>#REF!</v>
      </c>
      <c r="E3" s="13" t="e">
        <f>SUM(E4:E5)</f>
        <v>#REF!</v>
      </c>
      <c r="F3" s="13" t="e">
        <f t="shared" ref="F3:N3" si="1">SUM(F4:F5)</f>
        <v>#REF!</v>
      </c>
      <c r="G3" s="13" t="e">
        <f t="shared" si="1"/>
        <v>#REF!</v>
      </c>
      <c r="H3" s="13" t="e">
        <f t="shared" si="1"/>
        <v>#REF!</v>
      </c>
      <c r="I3" s="13" t="e">
        <f t="shared" si="1"/>
        <v>#REF!</v>
      </c>
      <c r="J3" s="13" t="e">
        <f t="shared" si="1"/>
        <v>#REF!</v>
      </c>
      <c r="K3" s="13" t="e">
        <f t="shared" si="1"/>
        <v>#REF!</v>
      </c>
      <c r="L3" s="13" t="e">
        <f t="shared" si="1"/>
        <v>#REF!</v>
      </c>
      <c r="M3" s="13" t="e">
        <f t="shared" si="1"/>
        <v>#REF!</v>
      </c>
      <c r="N3" s="13" t="e">
        <f t="shared" si="1"/>
        <v>#REF!</v>
      </c>
      <c r="P3" s="15" t="e">
        <f>SUM(C3:N3)</f>
        <v>#REF!</v>
      </c>
      <c r="R3" s="263">
        <v>455129.06495281134</v>
      </c>
    </row>
    <row r="4" spans="1:18">
      <c r="A4" s="17" t="s">
        <v>97</v>
      </c>
      <c r="B4" s="205">
        <v>0.7</v>
      </c>
      <c r="C4" s="18" t="e">
        <f>Demanda!B10*'Fluxo de Caixa 05'!$B$4</f>
        <v>#REF!</v>
      </c>
      <c r="D4" s="18" t="e">
        <f>Demanda!C10*'Fluxo de Caixa 05'!$B$4</f>
        <v>#REF!</v>
      </c>
      <c r="E4" s="18" t="e">
        <f>Demanda!D10*'Fluxo de Caixa 05'!$B$4</f>
        <v>#REF!</v>
      </c>
      <c r="F4" s="18" t="e">
        <f>Demanda!E10*'Fluxo de Caixa 05'!$B$4</f>
        <v>#REF!</v>
      </c>
      <c r="G4" s="18" t="e">
        <f>Demanda!F10*'Fluxo de Caixa 05'!$B$4</f>
        <v>#REF!</v>
      </c>
      <c r="H4" s="18" t="e">
        <f>Demanda!G10*'Fluxo de Caixa 05'!$B$4</f>
        <v>#REF!</v>
      </c>
      <c r="I4" s="18" t="e">
        <f>Demanda!H10*'Fluxo de Caixa 05'!$B$4</f>
        <v>#REF!</v>
      </c>
      <c r="J4" s="18" t="e">
        <f>Demanda!I10*'Fluxo de Caixa 05'!$B$4</f>
        <v>#REF!</v>
      </c>
      <c r="K4" s="18" t="e">
        <f>Demanda!J10*'Fluxo de Caixa 05'!$B$4</f>
        <v>#REF!</v>
      </c>
      <c r="L4" s="18" t="e">
        <f>Demanda!K10*'Fluxo de Caixa 05'!$B$4</f>
        <v>#REF!</v>
      </c>
      <c r="M4" s="18" t="e">
        <f>Demanda!L10*'Fluxo de Caixa 05'!$B$4</f>
        <v>#REF!</v>
      </c>
      <c r="N4" s="18" t="e">
        <f>Demanda!M10*'Fluxo de Caixa 05'!$B$4</f>
        <v>#REF!</v>
      </c>
      <c r="P4" s="15" t="e">
        <f t="shared" ref="P4:P5" si="2">SUM(C4:N4)</f>
        <v>#REF!</v>
      </c>
      <c r="R4" s="263">
        <v>455129.06495281134</v>
      </c>
    </row>
    <row r="5" spans="1:18">
      <c r="A5" s="17" t="s">
        <v>42</v>
      </c>
      <c r="B5" s="205">
        <v>0.3</v>
      </c>
      <c r="C5" s="18" t="e">
        <f>Demanda!B10*'Fluxo de Caixa 05'!$B$5</f>
        <v>#REF!</v>
      </c>
      <c r="D5" s="18" t="e">
        <f>Demanda!C10*'Fluxo de Caixa 05'!$B$5</f>
        <v>#REF!</v>
      </c>
      <c r="E5" s="18" t="e">
        <f>Demanda!D10*'Fluxo de Caixa 05'!$B$5</f>
        <v>#REF!</v>
      </c>
      <c r="F5" s="18" t="e">
        <f>Demanda!E10*'Fluxo de Caixa 05'!$B$5</f>
        <v>#REF!</v>
      </c>
      <c r="G5" s="18" t="e">
        <f>Demanda!F10*'Fluxo de Caixa 05'!$B$5</f>
        <v>#REF!</v>
      </c>
      <c r="H5" s="18" t="e">
        <f>Demanda!G10*'Fluxo de Caixa 05'!$B$5</f>
        <v>#REF!</v>
      </c>
      <c r="I5" s="18" t="e">
        <f>Demanda!H10*'Fluxo de Caixa 05'!$B$5</f>
        <v>#REF!</v>
      </c>
      <c r="J5" s="18" t="e">
        <f>Demanda!I10*'Fluxo de Caixa 05'!$B$5</f>
        <v>#REF!</v>
      </c>
      <c r="K5" s="18" t="e">
        <f>Demanda!J10*'Fluxo de Caixa 05'!$B$5</f>
        <v>#REF!</v>
      </c>
      <c r="L5" s="18" t="e">
        <f>Demanda!K10*'Fluxo de Caixa 05'!$B$5</f>
        <v>#REF!</v>
      </c>
      <c r="M5" s="18" t="e">
        <f>Demanda!L10*'Fluxo de Caixa 05'!$B$5</f>
        <v>#REF!</v>
      </c>
      <c r="N5" s="18" t="e">
        <f>Demanda!M10*'Fluxo de Caixa 05'!$B$5</f>
        <v>#REF!</v>
      </c>
      <c r="P5" s="15" t="e">
        <f t="shared" si="2"/>
        <v>#REF!</v>
      </c>
      <c r="R5" s="263">
        <v>612758.75148134027</v>
      </c>
    </row>
    <row r="6" spans="1:18" s="14" customFormat="1">
      <c r="A6" s="12" t="s">
        <v>43</v>
      </c>
      <c r="B6" s="12"/>
      <c r="C6" s="13" t="e">
        <f t="shared" ref="C6:N6" si="3">C7+C20</f>
        <v>#REF!</v>
      </c>
      <c r="D6" s="13" t="e">
        <f t="shared" si="3"/>
        <v>#REF!</v>
      </c>
      <c r="E6" s="13" t="e">
        <f t="shared" si="3"/>
        <v>#REF!</v>
      </c>
      <c r="F6" s="13" t="e">
        <f t="shared" si="3"/>
        <v>#REF!</v>
      </c>
      <c r="G6" s="13" t="e">
        <f t="shared" si="3"/>
        <v>#REF!</v>
      </c>
      <c r="H6" s="13" t="e">
        <f t="shared" si="3"/>
        <v>#REF!</v>
      </c>
      <c r="I6" s="13" t="e">
        <f t="shared" si="3"/>
        <v>#REF!</v>
      </c>
      <c r="J6" s="13" t="e">
        <f t="shared" si="3"/>
        <v>#REF!</v>
      </c>
      <c r="K6" s="13" t="e">
        <f t="shared" si="3"/>
        <v>#REF!</v>
      </c>
      <c r="L6" s="13" t="e">
        <f t="shared" si="3"/>
        <v>#REF!</v>
      </c>
      <c r="M6" s="13" t="e">
        <f t="shared" si="3"/>
        <v>#REF!</v>
      </c>
      <c r="N6" s="13" t="e">
        <f t="shared" si="3"/>
        <v>#REF!</v>
      </c>
      <c r="P6" s="15" t="e">
        <f>SUM(C6:N6)</f>
        <v>#REF!</v>
      </c>
      <c r="R6" s="263">
        <v>1213699.4363391681</v>
      </c>
    </row>
    <row r="7" spans="1:18" s="14" customFormat="1">
      <c r="A7" s="12" t="s">
        <v>44</v>
      </c>
      <c r="B7" s="12"/>
      <c r="C7" s="13" t="e">
        <f t="shared" ref="C7:N7" si="4">C8+C15</f>
        <v>#REF!</v>
      </c>
      <c r="D7" s="13" t="e">
        <f t="shared" si="4"/>
        <v>#REF!</v>
      </c>
      <c r="E7" s="13" t="e">
        <f t="shared" si="4"/>
        <v>#REF!</v>
      </c>
      <c r="F7" s="13" t="e">
        <f t="shared" si="4"/>
        <v>#REF!</v>
      </c>
      <c r="G7" s="13" t="e">
        <f t="shared" si="4"/>
        <v>#REF!</v>
      </c>
      <c r="H7" s="13" t="e">
        <f t="shared" si="4"/>
        <v>#REF!</v>
      </c>
      <c r="I7" s="13" t="e">
        <f t="shared" si="4"/>
        <v>#REF!</v>
      </c>
      <c r="J7" s="13" t="e">
        <f t="shared" si="4"/>
        <v>#REF!</v>
      </c>
      <c r="K7" s="13" t="e">
        <f t="shared" si="4"/>
        <v>#REF!</v>
      </c>
      <c r="L7" s="13" t="e">
        <f t="shared" si="4"/>
        <v>#REF!</v>
      </c>
      <c r="M7" s="13" t="e">
        <f t="shared" si="4"/>
        <v>#REF!</v>
      </c>
      <c r="N7" s="13" t="e">
        <f t="shared" si="4"/>
        <v>#REF!</v>
      </c>
      <c r="P7" s="15" t="e">
        <f t="shared" ref="P7:P28" si="5">SUM(C7:N7)</f>
        <v>#REF!</v>
      </c>
      <c r="R7" s="263">
        <v>612758.75148134027</v>
      </c>
    </row>
    <row r="8" spans="1:18" s="14" customFormat="1">
      <c r="A8" s="12" t="s">
        <v>45</v>
      </c>
      <c r="B8" s="12"/>
      <c r="C8" s="13" t="e">
        <f t="shared" ref="C8:N8" si="6">SUM(C9:C14)</f>
        <v>#REF!</v>
      </c>
      <c r="D8" s="13" t="e">
        <f t="shared" si="6"/>
        <v>#REF!</v>
      </c>
      <c r="E8" s="13" t="e">
        <f t="shared" si="6"/>
        <v>#REF!</v>
      </c>
      <c r="F8" s="13" t="e">
        <f t="shared" si="6"/>
        <v>#REF!</v>
      </c>
      <c r="G8" s="13" t="e">
        <f t="shared" si="6"/>
        <v>#REF!</v>
      </c>
      <c r="H8" s="13" t="e">
        <f t="shared" si="6"/>
        <v>#REF!</v>
      </c>
      <c r="I8" s="13" t="e">
        <f t="shared" si="6"/>
        <v>#REF!</v>
      </c>
      <c r="J8" s="13" t="e">
        <f t="shared" si="6"/>
        <v>#REF!</v>
      </c>
      <c r="K8" s="13" t="e">
        <f t="shared" si="6"/>
        <v>#REF!</v>
      </c>
      <c r="L8" s="13" t="e">
        <f t="shared" si="6"/>
        <v>#REF!</v>
      </c>
      <c r="M8" s="13" t="e">
        <f t="shared" si="6"/>
        <v>#REF!</v>
      </c>
      <c r="N8" s="13" t="e">
        <f t="shared" si="6"/>
        <v>#REF!</v>
      </c>
      <c r="P8" s="15" t="e">
        <f t="shared" si="5"/>
        <v>#REF!</v>
      </c>
      <c r="Q8" s="25"/>
      <c r="R8" s="263">
        <v>455129.06495281134</v>
      </c>
    </row>
    <row r="9" spans="1:18">
      <c r="A9" s="17" t="str">
        <f>'[2]custos fixos anual'!A6:C6</f>
        <v>Água</v>
      </c>
      <c r="B9" s="17"/>
      <c r="C9" s="18" t="e">
        <f>'Fluxo de Caixa 04'!C9*0.07+'Fluxo de Caixa 04'!C9</f>
        <v>#REF!</v>
      </c>
      <c r="D9" s="18" t="e">
        <f>'Fluxo de Caixa 04'!D9*0.07+'Fluxo de Caixa 04'!D9</f>
        <v>#REF!</v>
      </c>
      <c r="E9" s="18" t="e">
        <f>'Fluxo de Caixa 04'!E9*0.07+'Fluxo de Caixa 04'!E9</f>
        <v>#REF!</v>
      </c>
      <c r="F9" s="18" t="e">
        <f>'Fluxo de Caixa 04'!F9*0.07+'Fluxo de Caixa 04'!F9</f>
        <v>#REF!</v>
      </c>
      <c r="G9" s="18" t="e">
        <f>'Fluxo de Caixa 04'!G9*0.07+'Fluxo de Caixa 04'!G9</f>
        <v>#REF!</v>
      </c>
      <c r="H9" s="18" t="e">
        <f>'Fluxo de Caixa 04'!H9*0.07+'Fluxo de Caixa 04'!H9</f>
        <v>#REF!</v>
      </c>
      <c r="I9" s="18" t="e">
        <f>'Fluxo de Caixa 04'!I9*0.07+'Fluxo de Caixa 04'!I9</f>
        <v>#REF!</v>
      </c>
      <c r="J9" s="18" t="e">
        <f>'Fluxo de Caixa 04'!J9*0.07+'Fluxo de Caixa 04'!J9</f>
        <v>#REF!</v>
      </c>
      <c r="K9" s="18" t="e">
        <f>'Fluxo de Caixa 04'!K9*0.07+'Fluxo de Caixa 04'!K9</f>
        <v>#REF!</v>
      </c>
      <c r="L9" s="18" t="e">
        <f>'Fluxo de Caixa 04'!L9*0.07+'Fluxo de Caixa 04'!L9</f>
        <v>#REF!</v>
      </c>
      <c r="M9" s="18" t="e">
        <f>'Fluxo de Caixa 04'!M9*0.07+'Fluxo de Caixa 04'!M9</f>
        <v>#REF!</v>
      </c>
      <c r="N9" s="18" t="e">
        <f>'Fluxo de Caixa 04'!N9*0.07+'Fluxo de Caixa 04'!N9</f>
        <v>#REF!</v>
      </c>
      <c r="P9" s="15" t="e">
        <f t="shared" si="5"/>
        <v>#REF!</v>
      </c>
      <c r="R9" s="263">
        <v>455129.06495281134</v>
      </c>
    </row>
    <row r="10" spans="1:18">
      <c r="A10" s="17" t="str">
        <f>'[2]custos fixos anual'!A7:C7</f>
        <v>Energia Elétrica</v>
      </c>
      <c r="B10" s="17"/>
      <c r="C10" s="18" t="e">
        <f>'Fluxo de Caixa 04'!C10*0.07+'Fluxo de Caixa 04'!C10</f>
        <v>#REF!</v>
      </c>
      <c r="D10" s="18" t="e">
        <f>'Fluxo de Caixa 04'!D10*0.07+'Fluxo de Caixa 04'!D10</f>
        <v>#REF!</v>
      </c>
      <c r="E10" s="18" t="e">
        <f>'Fluxo de Caixa 04'!E10*0.07+'Fluxo de Caixa 04'!E10</f>
        <v>#REF!</v>
      </c>
      <c r="F10" s="18" t="e">
        <f>'Fluxo de Caixa 04'!F10*0.07+'Fluxo de Caixa 04'!F10</f>
        <v>#REF!</v>
      </c>
      <c r="G10" s="18" t="e">
        <f>'Fluxo de Caixa 04'!G10*0.07+'Fluxo de Caixa 04'!G10</f>
        <v>#REF!</v>
      </c>
      <c r="H10" s="18" t="e">
        <f>'Fluxo de Caixa 04'!H10*0.07+'Fluxo de Caixa 04'!H10</f>
        <v>#REF!</v>
      </c>
      <c r="I10" s="18" t="e">
        <f>'Fluxo de Caixa 04'!I10*0.07+'Fluxo de Caixa 04'!I10</f>
        <v>#REF!</v>
      </c>
      <c r="J10" s="18" t="e">
        <f>'Fluxo de Caixa 04'!J10*0.07+'Fluxo de Caixa 04'!J10</f>
        <v>#REF!</v>
      </c>
      <c r="K10" s="18" t="e">
        <f>'Fluxo de Caixa 04'!K10*0.07+'Fluxo de Caixa 04'!K10</f>
        <v>#REF!</v>
      </c>
      <c r="L10" s="18" t="e">
        <f>'Fluxo de Caixa 04'!L10*0.07+'Fluxo de Caixa 04'!L10</f>
        <v>#REF!</v>
      </c>
      <c r="M10" s="18" t="e">
        <f>'Fluxo de Caixa 04'!M10*0.07+'Fluxo de Caixa 04'!M10</f>
        <v>#REF!</v>
      </c>
      <c r="N10" s="18" t="e">
        <f>'Fluxo de Caixa 04'!N10*0.07+'Fluxo de Caixa 04'!N10</f>
        <v>#REF!</v>
      </c>
      <c r="P10" s="15" t="e">
        <f t="shared" si="5"/>
        <v>#REF!</v>
      </c>
      <c r="R10" s="263">
        <v>612758.75148134027</v>
      </c>
    </row>
    <row r="11" spans="1:18">
      <c r="A11" s="17" t="str">
        <f>'[2]custos fixos anual'!A8:C8</f>
        <v>Internet</v>
      </c>
      <c r="B11" s="17"/>
      <c r="C11" s="18" t="e">
        <f>'Fluxo de Caixa 04'!C11*0.07+'Fluxo de Caixa 04'!C11</f>
        <v>#REF!</v>
      </c>
      <c r="D11" s="18" t="e">
        <f>'Fluxo de Caixa 04'!D11*0.07+'Fluxo de Caixa 04'!D11</f>
        <v>#REF!</v>
      </c>
      <c r="E11" s="18" t="e">
        <f>'Fluxo de Caixa 04'!E11*0.07+'Fluxo de Caixa 04'!E11</f>
        <v>#REF!</v>
      </c>
      <c r="F11" s="18" t="e">
        <f>'Fluxo de Caixa 04'!F11*0.07+'Fluxo de Caixa 04'!F11</f>
        <v>#REF!</v>
      </c>
      <c r="G11" s="18" t="e">
        <f>'Fluxo de Caixa 04'!G11*0.07+'Fluxo de Caixa 04'!G11</f>
        <v>#REF!</v>
      </c>
      <c r="H11" s="18" t="e">
        <f>'Fluxo de Caixa 04'!H11*0.07+'Fluxo de Caixa 04'!H11</f>
        <v>#REF!</v>
      </c>
      <c r="I11" s="18" t="e">
        <f>'Fluxo de Caixa 04'!I11*0.07+'Fluxo de Caixa 04'!I11</f>
        <v>#REF!</v>
      </c>
      <c r="J11" s="18" t="e">
        <f>'Fluxo de Caixa 04'!J11*0.07+'Fluxo de Caixa 04'!J11</f>
        <v>#REF!</v>
      </c>
      <c r="K11" s="18" t="e">
        <f>'Fluxo de Caixa 04'!K11*0.07+'Fluxo de Caixa 04'!K11</f>
        <v>#REF!</v>
      </c>
      <c r="L11" s="18" t="e">
        <f>'Fluxo de Caixa 04'!L11*0.07+'Fluxo de Caixa 04'!L11</f>
        <v>#REF!</v>
      </c>
      <c r="M11" s="18" t="e">
        <f>'Fluxo de Caixa 04'!M11*0.07+'Fluxo de Caixa 04'!M11</f>
        <v>#REF!</v>
      </c>
      <c r="N11" s="18" t="e">
        <f>'Fluxo de Caixa 04'!N11*0.07+'Fluxo de Caixa 04'!N11</f>
        <v>#REF!</v>
      </c>
      <c r="P11" s="15" t="e">
        <f t="shared" si="5"/>
        <v>#REF!</v>
      </c>
      <c r="R11" s="263">
        <v>455129.06495281134</v>
      </c>
    </row>
    <row r="12" spans="1:18">
      <c r="A12" s="17" t="str">
        <f>'[2]custos fixos anual'!A9:C9</f>
        <v>Telefone</v>
      </c>
      <c r="B12" s="17"/>
      <c r="C12" s="18" t="e">
        <f>'Fluxo de Caixa 04'!C12*0.07+'Fluxo de Caixa 04'!C12</f>
        <v>#REF!</v>
      </c>
      <c r="D12" s="18" t="e">
        <f>'Fluxo de Caixa 04'!D12*0.07+'Fluxo de Caixa 04'!D12</f>
        <v>#REF!</v>
      </c>
      <c r="E12" s="18" t="e">
        <f>'Fluxo de Caixa 04'!E12*0.07+'Fluxo de Caixa 04'!E12</f>
        <v>#REF!</v>
      </c>
      <c r="F12" s="18" t="e">
        <f>'Fluxo de Caixa 04'!F12*0.07+'Fluxo de Caixa 04'!F12</f>
        <v>#REF!</v>
      </c>
      <c r="G12" s="18" t="e">
        <f>'Fluxo de Caixa 04'!G12*0.07+'Fluxo de Caixa 04'!G12</f>
        <v>#REF!</v>
      </c>
      <c r="H12" s="18" t="e">
        <f>'Fluxo de Caixa 04'!H12*0.07+'Fluxo de Caixa 04'!H12</f>
        <v>#REF!</v>
      </c>
      <c r="I12" s="18" t="e">
        <f>'Fluxo de Caixa 04'!I12*0.07+'Fluxo de Caixa 04'!I12</f>
        <v>#REF!</v>
      </c>
      <c r="J12" s="18" t="e">
        <f>'Fluxo de Caixa 04'!J12*0.07+'Fluxo de Caixa 04'!J12</f>
        <v>#REF!</v>
      </c>
      <c r="K12" s="18" t="e">
        <f>'Fluxo de Caixa 04'!K12*0.07+'Fluxo de Caixa 04'!K12</f>
        <v>#REF!</v>
      </c>
      <c r="L12" s="18" t="e">
        <f>'Fluxo de Caixa 04'!L12*0.07+'Fluxo de Caixa 04'!L12</f>
        <v>#REF!</v>
      </c>
      <c r="M12" s="18" t="e">
        <f>'Fluxo de Caixa 04'!M12*0.07+'Fluxo de Caixa 04'!M12</f>
        <v>#REF!</v>
      </c>
      <c r="N12" s="18" t="e">
        <f>'Fluxo de Caixa 04'!N12*0.07+'Fluxo de Caixa 04'!N12</f>
        <v>#REF!</v>
      </c>
      <c r="P12" s="15" t="e">
        <f t="shared" si="5"/>
        <v>#REF!</v>
      </c>
      <c r="R12" s="263">
        <v>455129.06495281134</v>
      </c>
    </row>
    <row r="13" spans="1:18">
      <c r="A13" s="17" t="str">
        <f>'[2]custos fixos anual'!A13:C13</f>
        <v>Aluguel</v>
      </c>
      <c r="B13" s="17"/>
      <c r="C13" s="18">
        <f>'Fluxo de Caixa 04'!C13*0.07+'Fluxo de Caixa 04'!C13</f>
        <v>2930.944</v>
      </c>
      <c r="D13" s="18">
        <f>'Fluxo de Caixa 04'!D13*0.07+'Fluxo de Caixa 04'!D13</f>
        <v>2930.944</v>
      </c>
      <c r="E13" s="18">
        <f>'Fluxo de Caixa 04'!E13*0.07+'Fluxo de Caixa 04'!E13</f>
        <v>2930.944</v>
      </c>
      <c r="F13" s="18">
        <f>'Fluxo de Caixa 04'!F13*0.07+'Fluxo de Caixa 04'!F13</f>
        <v>2930.944</v>
      </c>
      <c r="G13" s="18">
        <f>'Fluxo de Caixa 04'!G13*0.07+'Fluxo de Caixa 04'!G13</f>
        <v>2930.944</v>
      </c>
      <c r="H13" s="18">
        <f>'Fluxo de Caixa 04'!H13*0.07+'Fluxo de Caixa 04'!H13</f>
        <v>2930.944</v>
      </c>
      <c r="I13" s="18">
        <f>'Fluxo de Caixa 04'!I13*0.07+'Fluxo de Caixa 04'!I13</f>
        <v>2930.944</v>
      </c>
      <c r="J13" s="18">
        <f>'Fluxo de Caixa 04'!J13*0.07+'Fluxo de Caixa 04'!J13</f>
        <v>2930.944</v>
      </c>
      <c r="K13" s="18">
        <f>'Fluxo de Caixa 04'!K13*0.07+'Fluxo de Caixa 04'!K13</f>
        <v>2930.944</v>
      </c>
      <c r="L13" s="18">
        <f>'Fluxo de Caixa 04'!L13*0.07+'Fluxo de Caixa 04'!L13</f>
        <v>2930.944</v>
      </c>
      <c r="M13" s="18">
        <f>'Fluxo de Caixa 04'!M13*0.07+'Fluxo de Caixa 04'!M13</f>
        <v>2930.944</v>
      </c>
      <c r="N13" s="18">
        <f>'Fluxo de Caixa 04'!N13*0.07+'Fluxo de Caixa 04'!N13</f>
        <v>2930.944</v>
      </c>
      <c r="P13" s="15">
        <f t="shared" si="5"/>
        <v>35171.328000000001</v>
      </c>
      <c r="R13" s="263">
        <v>455129.06495281134</v>
      </c>
    </row>
    <row r="14" spans="1:18">
      <c r="A14" s="17" t="str">
        <f>'[2]custos fixos anual'!A17:C17</f>
        <v>IPVA</v>
      </c>
      <c r="B14" s="17"/>
      <c r="C14" s="18" t="e">
        <f>'Fluxo de Caixa 01'!#REF!</f>
        <v>#REF!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P14" s="15" t="e">
        <f t="shared" si="5"/>
        <v>#REF!</v>
      </c>
      <c r="R14" s="263">
        <v>612758.75148134027</v>
      </c>
    </row>
    <row r="15" spans="1:18" s="14" customFormat="1">
      <c r="A15" s="12" t="s">
        <v>46</v>
      </c>
      <c r="B15" s="12"/>
      <c r="C15" s="13" t="e">
        <f>SUM(C16:C19)</f>
        <v>#REF!</v>
      </c>
      <c r="D15" s="13" t="e">
        <f t="shared" ref="D15:N15" si="7">SUM(D16:D19)</f>
        <v>#REF!</v>
      </c>
      <c r="E15" s="13" t="e">
        <f t="shared" si="7"/>
        <v>#REF!</v>
      </c>
      <c r="F15" s="13" t="e">
        <f t="shared" si="7"/>
        <v>#REF!</v>
      </c>
      <c r="G15" s="13" t="e">
        <f t="shared" si="7"/>
        <v>#REF!</v>
      </c>
      <c r="H15" s="13" t="e">
        <f t="shared" si="7"/>
        <v>#REF!</v>
      </c>
      <c r="I15" s="13" t="e">
        <f t="shared" si="7"/>
        <v>#REF!</v>
      </c>
      <c r="J15" s="13" t="e">
        <f t="shared" si="7"/>
        <v>#REF!</v>
      </c>
      <c r="K15" s="13" t="e">
        <f t="shared" si="7"/>
        <v>#REF!</v>
      </c>
      <c r="L15" s="13" t="e">
        <f t="shared" si="7"/>
        <v>#REF!</v>
      </c>
      <c r="M15" s="13" t="e">
        <f t="shared" si="7"/>
        <v>#REF!</v>
      </c>
      <c r="N15" s="13" t="e">
        <f t="shared" si="7"/>
        <v>#REF!</v>
      </c>
      <c r="P15" s="15" t="e">
        <f t="shared" si="5"/>
        <v>#REF!</v>
      </c>
    </row>
    <row r="16" spans="1:18" s="14" customFormat="1">
      <c r="A16" s="17" t="s">
        <v>190</v>
      </c>
      <c r="B16" s="12"/>
      <c r="C16" s="18">
        <v>230</v>
      </c>
      <c r="D16" s="18">
        <v>230</v>
      </c>
      <c r="E16" s="18">
        <v>230</v>
      </c>
      <c r="F16" s="18">
        <v>230</v>
      </c>
      <c r="G16" s="18">
        <v>230</v>
      </c>
      <c r="H16" s="18">
        <v>230</v>
      </c>
      <c r="I16" s="18">
        <v>230</v>
      </c>
      <c r="J16" s="18">
        <v>230</v>
      </c>
      <c r="K16" s="18">
        <v>230</v>
      </c>
      <c r="L16" s="18">
        <v>230</v>
      </c>
      <c r="M16" s="18">
        <v>230</v>
      </c>
      <c r="N16" s="18">
        <v>230</v>
      </c>
      <c r="P16" s="15">
        <f t="shared" si="5"/>
        <v>2760</v>
      </c>
    </row>
    <row r="17" spans="1:17" s="14" customFormat="1">
      <c r="A17" s="17" t="s">
        <v>309</v>
      </c>
      <c r="B17" s="207">
        <v>0.7</v>
      </c>
      <c r="C17" s="18" t="e">
        <f>Demanda!B32*'Fluxo de Caixa 05'!$B$17</f>
        <v>#REF!</v>
      </c>
      <c r="D17" s="18" t="e">
        <f>Demanda!C32*'Fluxo de Caixa 05'!$B$17</f>
        <v>#REF!</v>
      </c>
      <c r="E17" s="18" t="e">
        <f>Demanda!D32*'Fluxo de Caixa 05'!$B$17</f>
        <v>#REF!</v>
      </c>
      <c r="F17" s="18" t="e">
        <f>Demanda!E32*'Fluxo de Caixa 05'!$B$17</f>
        <v>#REF!</v>
      </c>
      <c r="G17" s="18" t="e">
        <f>Demanda!F32*'Fluxo de Caixa 05'!$B$17</f>
        <v>#REF!</v>
      </c>
      <c r="H17" s="18" t="e">
        <f>Demanda!G32*'Fluxo de Caixa 05'!$B$17</f>
        <v>#REF!</v>
      </c>
      <c r="I17" s="18" t="e">
        <f>Demanda!H32*'Fluxo de Caixa 05'!$B$17</f>
        <v>#REF!</v>
      </c>
      <c r="J17" s="18" t="e">
        <f>Demanda!I32*'Fluxo de Caixa 05'!$B$17</f>
        <v>#REF!</v>
      </c>
      <c r="K17" s="18" t="e">
        <f>Demanda!J32*'Fluxo de Caixa 05'!$B$17</f>
        <v>#REF!</v>
      </c>
      <c r="L17" s="18" t="e">
        <f>Demanda!K32*'Fluxo de Caixa 05'!$B$17</f>
        <v>#REF!</v>
      </c>
      <c r="M17" s="18" t="e">
        <f>Demanda!L32*'Fluxo de Caixa 05'!$B$17</f>
        <v>#REF!</v>
      </c>
      <c r="N17" s="18" t="e">
        <f>Demanda!M32*'Fluxo de Caixa 05'!$B$17</f>
        <v>#REF!</v>
      </c>
      <c r="P17" s="15" t="e">
        <f t="shared" si="5"/>
        <v>#REF!</v>
      </c>
    </row>
    <row r="18" spans="1:17" s="14" customFormat="1">
      <c r="A18" s="17" t="s">
        <v>308</v>
      </c>
      <c r="B18" s="207">
        <v>0.3</v>
      </c>
      <c r="C18" s="18" t="e">
        <f>Demanda!B32*'Fluxo de Caixa 05'!$B$18</f>
        <v>#REF!</v>
      </c>
      <c r="D18" s="18" t="e">
        <f>Demanda!C32*'Fluxo de Caixa 05'!$B$18</f>
        <v>#REF!</v>
      </c>
      <c r="E18" s="18" t="e">
        <f>Demanda!D32*'Fluxo de Caixa 05'!$B$18</f>
        <v>#REF!</v>
      </c>
      <c r="F18" s="18" t="e">
        <f>Demanda!E32*'Fluxo de Caixa 05'!$B$18</f>
        <v>#REF!</v>
      </c>
      <c r="G18" s="18" t="e">
        <f>Demanda!F32*'Fluxo de Caixa 05'!$B$18</f>
        <v>#REF!</v>
      </c>
      <c r="H18" s="18" t="e">
        <f>Demanda!G32*'Fluxo de Caixa 05'!$B$18</f>
        <v>#REF!</v>
      </c>
      <c r="I18" s="18" t="e">
        <f>Demanda!H32*'Fluxo de Caixa 05'!$B$18</f>
        <v>#REF!</v>
      </c>
      <c r="J18" s="18" t="e">
        <f>Demanda!I32*'Fluxo de Caixa 05'!$B$18</f>
        <v>#REF!</v>
      </c>
      <c r="K18" s="18" t="e">
        <f>Demanda!J32*'Fluxo de Caixa 05'!$B$18</f>
        <v>#REF!</v>
      </c>
      <c r="L18" s="18" t="e">
        <f>Demanda!K32*'Fluxo de Caixa 05'!$B$18</f>
        <v>#REF!</v>
      </c>
      <c r="M18" s="18" t="e">
        <f>Demanda!L32*'Fluxo de Caixa 05'!$B$18</f>
        <v>#REF!</v>
      </c>
      <c r="N18" s="18" t="e">
        <f>Demanda!M32*'Fluxo de Caixa 05'!$B$18</f>
        <v>#REF!</v>
      </c>
      <c r="P18" s="15" t="e">
        <f t="shared" si="5"/>
        <v>#REF!</v>
      </c>
    </row>
    <row r="19" spans="1:17">
      <c r="A19" s="11" t="s">
        <v>191</v>
      </c>
      <c r="B19" s="17"/>
      <c r="C19" s="18" t="e">
        <f>Demanda!B21</f>
        <v>#REF!</v>
      </c>
      <c r="D19" s="18" t="e">
        <f>Demanda!C21</f>
        <v>#REF!</v>
      </c>
      <c r="E19" s="18" t="e">
        <f>Demanda!D21</f>
        <v>#REF!</v>
      </c>
      <c r="F19" s="18" t="e">
        <f>Demanda!E21</f>
        <v>#REF!</v>
      </c>
      <c r="G19" s="18" t="e">
        <f>Demanda!F21</f>
        <v>#REF!</v>
      </c>
      <c r="H19" s="18" t="e">
        <f>Demanda!G21</f>
        <v>#REF!</v>
      </c>
      <c r="I19" s="18" t="e">
        <f>Demanda!H21</f>
        <v>#REF!</v>
      </c>
      <c r="J19" s="18" t="e">
        <f>Demanda!I21</f>
        <v>#REF!</v>
      </c>
      <c r="K19" s="18" t="e">
        <f>Demanda!J21</f>
        <v>#REF!</v>
      </c>
      <c r="L19" s="18" t="e">
        <f>Demanda!K21</f>
        <v>#REF!</v>
      </c>
      <c r="M19" s="18" t="e">
        <f>Demanda!L21</f>
        <v>#REF!</v>
      </c>
      <c r="N19" s="18" t="e">
        <f>Demanda!M21</f>
        <v>#REF!</v>
      </c>
      <c r="P19" s="100" t="e">
        <f t="shared" si="5"/>
        <v>#REF!</v>
      </c>
    </row>
    <row r="20" spans="1:17" s="14" customFormat="1">
      <c r="A20" s="12" t="s">
        <v>47</v>
      </c>
      <c r="B20" s="12"/>
      <c r="C20" s="13" t="e">
        <f t="shared" ref="C20:N20" si="8">C21+C24+C26+C28</f>
        <v>#REF!</v>
      </c>
      <c r="D20" s="13" t="e">
        <f t="shared" si="8"/>
        <v>#REF!</v>
      </c>
      <c r="E20" s="13" t="e">
        <f t="shared" si="8"/>
        <v>#REF!</v>
      </c>
      <c r="F20" s="13" t="e">
        <f t="shared" si="8"/>
        <v>#REF!</v>
      </c>
      <c r="G20" s="13" t="e">
        <f t="shared" si="8"/>
        <v>#REF!</v>
      </c>
      <c r="H20" s="13" t="e">
        <f t="shared" si="8"/>
        <v>#REF!</v>
      </c>
      <c r="I20" s="13" t="e">
        <f t="shared" si="8"/>
        <v>#REF!</v>
      </c>
      <c r="J20" s="13" t="e">
        <f t="shared" si="8"/>
        <v>#REF!</v>
      </c>
      <c r="K20" s="13" t="e">
        <f t="shared" si="8"/>
        <v>#REF!</v>
      </c>
      <c r="L20" s="13" t="e">
        <f t="shared" si="8"/>
        <v>#REF!</v>
      </c>
      <c r="M20" s="13" t="e">
        <f t="shared" si="8"/>
        <v>#REF!</v>
      </c>
      <c r="N20" s="13" t="e">
        <f t="shared" si="8"/>
        <v>#REF!</v>
      </c>
      <c r="P20" s="15" t="e">
        <f t="shared" si="5"/>
        <v>#REF!</v>
      </c>
    </row>
    <row r="21" spans="1:17" s="14" customFormat="1">
      <c r="A21" s="12" t="s">
        <v>48</v>
      </c>
      <c r="B21" s="12"/>
      <c r="C21" s="13" t="e">
        <f>SUM(C22:C23)</f>
        <v>#REF!</v>
      </c>
      <c r="D21" s="13" t="e">
        <f t="shared" ref="D21:N21" si="9">SUM(D22:D23)</f>
        <v>#REF!</v>
      </c>
      <c r="E21" s="13" t="e">
        <f t="shared" si="9"/>
        <v>#REF!</v>
      </c>
      <c r="F21" s="13" t="e">
        <f t="shared" si="9"/>
        <v>#REF!</v>
      </c>
      <c r="G21" s="13" t="e">
        <f t="shared" si="9"/>
        <v>#REF!</v>
      </c>
      <c r="H21" s="13" t="e">
        <f t="shared" si="9"/>
        <v>#REF!</v>
      </c>
      <c r="I21" s="13" t="e">
        <f t="shared" si="9"/>
        <v>#REF!</v>
      </c>
      <c r="J21" s="13" t="e">
        <f t="shared" si="9"/>
        <v>#REF!</v>
      </c>
      <c r="K21" s="13" t="e">
        <f t="shared" si="9"/>
        <v>#REF!</v>
      </c>
      <c r="L21" s="13" t="e">
        <f t="shared" si="9"/>
        <v>#REF!</v>
      </c>
      <c r="M21" s="13" t="e">
        <f t="shared" si="9"/>
        <v>#REF!</v>
      </c>
      <c r="N21" s="13" t="e">
        <f t="shared" si="9"/>
        <v>#REF!</v>
      </c>
      <c r="P21" s="15" t="e">
        <f t="shared" si="5"/>
        <v>#REF!</v>
      </c>
    </row>
    <row r="22" spans="1:17">
      <c r="A22" s="17" t="s">
        <v>363</v>
      </c>
      <c r="B22" s="206" t="e">
        <f>Simples!G6</f>
        <v>#REF!</v>
      </c>
      <c r="C22" s="18">
        <f>impostos!K69</f>
        <v>63831.965141898021</v>
      </c>
      <c r="D22" s="18">
        <f>impostos!L69</f>
        <v>63831.965141898021</v>
      </c>
      <c r="E22" s="18">
        <f>impostos!M69</f>
        <v>85939.568084945844</v>
      </c>
      <c r="F22" s="18">
        <f>impostos!N69</f>
        <v>170221.64937142743</v>
      </c>
      <c r="G22" s="18">
        <f>impostos!O69</f>
        <v>85939.568084945844</v>
      </c>
      <c r="H22" s="18">
        <f>impostos!P69</f>
        <v>63831.965141898021</v>
      </c>
      <c r="I22" s="18">
        <f>impostos!Q69</f>
        <v>63831.965141898021</v>
      </c>
      <c r="J22" s="18">
        <f>impostos!R69</f>
        <v>85939.568084945844</v>
      </c>
      <c r="K22" s="18">
        <f>impostos!S69</f>
        <v>63831.965141898021</v>
      </c>
      <c r="L22" s="18">
        <f>impostos!T69</f>
        <v>63831.965141898021</v>
      </c>
      <c r="M22" s="18">
        <f>impostos!U69</f>
        <v>63831.965141898021</v>
      </c>
      <c r="N22" s="18">
        <f>impostos!V69</f>
        <v>85939.568084945844</v>
      </c>
      <c r="P22" s="15">
        <f t="shared" si="5"/>
        <v>960803.67770449701</v>
      </c>
    </row>
    <row r="23" spans="1:17">
      <c r="A23" s="17" t="s">
        <v>49</v>
      </c>
      <c r="B23" s="205">
        <v>0.01</v>
      </c>
      <c r="C23" s="18" t="e">
        <f>C$3*$B23</f>
        <v>#REF!</v>
      </c>
      <c r="D23" s="18" t="e">
        <f t="shared" ref="D23:N23" si="10">D$3*$B23</f>
        <v>#REF!</v>
      </c>
      <c r="E23" s="18" t="e">
        <f t="shared" si="10"/>
        <v>#REF!</v>
      </c>
      <c r="F23" s="18" t="e">
        <f t="shared" si="10"/>
        <v>#REF!</v>
      </c>
      <c r="G23" s="18" t="e">
        <f t="shared" si="10"/>
        <v>#REF!</v>
      </c>
      <c r="H23" s="18" t="e">
        <f t="shared" si="10"/>
        <v>#REF!</v>
      </c>
      <c r="I23" s="18" t="e">
        <f t="shared" si="10"/>
        <v>#REF!</v>
      </c>
      <c r="J23" s="18" t="e">
        <f t="shared" si="10"/>
        <v>#REF!</v>
      </c>
      <c r="K23" s="18" t="e">
        <f t="shared" si="10"/>
        <v>#REF!</v>
      </c>
      <c r="L23" s="18" t="e">
        <f t="shared" si="10"/>
        <v>#REF!</v>
      </c>
      <c r="M23" s="18" t="e">
        <f t="shared" si="10"/>
        <v>#REF!</v>
      </c>
      <c r="N23" s="18" t="e">
        <f t="shared" si="10"/>
        <v>#REF!</v>
      </c>
      <c r="O23" s="18"/>
      <c r="P23" s="15" t="e">
        <f t="shared" si="5"/>
        <v>#REF!</v>
      </c>
    </row>
    <row r="24" spans="1:17" s="14" customFormat="1">
      <c r="A24" s="12" t="s">
        <v>50</v>
      </c>
      <c r="B24" s="12"/>
      <c r="C24" s="13">
        <f>C25</f>
        <v>10000</v>
      </c>
      <c r="D24" s="13">
        <f t="shared" ref="D24:N24" si="11">D25</f>
        <v>10000</v>
      </c>
      <c r="E24" s="13">
        <f t="shared" si="11"/>
        <v>10000</v>
      </c>
      <c r="F24" s="13">
        <f t="shared" si="11"/>
        <v>10000</v>
      </c>
      <c r="G24" s="13">
        <f t="shared" si="11"/>
        <v>10000</v>
      </c>
      <c r="H24" s="13">
        <f t="shared" si="11"/>
        <v>10000</v>
      </c>
      <c r="I24" s="13">
        <f t="shared" si="11"/>
        <v>10000</v>
      </c>
      <c r="J24" s="13">
        <f t="shared" si="11"/>
        <v>10000</v>
      </c>
      <c r="K24" s="13">
        <f t="shared" si="11"/>
        <v>10000</v>
      </c>
      <c r="L24" s="13">
        <f t="shared" si="11"/>
        <v>10000</v>
      </c>
      <c r="M24" s="13">
        <f t="shared" si="11"/>
        <v>10000</v>
      </c>
      <c r="N24" s="13">
        <f t="shared" si="11"/>
        <v>10000</v>
      </c>
      <c r="P24" s="15">
        <f t="shared" si="5"/>
        <v>120000</v>
      </c>
      <c r="Q24" s="25"/>
    </row>
    <row r="25" spans="1:17">
      <c r="A25" s="17" t="str">
        <f>'[2]custos fixos anual'!A15:C15</f>
        <v>Despesa com Marketing</v>
      </c>
      <c r="B25" s="17"/>
      <c r="C25" s="18">
        <v>10000</v>
      </c>
      <c r="D25" s="18">
        <v>10000</v>
      </c>
      <c r="E25" s="18">
        <v>10000</v>
      </c>
      <c r="F25" s="18">
        <v>10000</v>
      </c>
      <c r="G25" s="18">
        <v>10000</v>
      </c>
      <c r="H25" s="18">
        <v>10000</v>
      </c>
      <c r="I25" s="18">
        <v>10000</v>
      </c>
      <c r="J25" s="18">
        <v>10000</v>
      </c>
      <c r="K25" s="18">
        <v>10000</v>
      </c>
      <c r="L25" s="18">
        <v>10000</v>
      </c>
      <c r="M25" s="18">
        <v>10000</v>
      </c>
      <c r="N25" s="18">
        <v>10000</v>
      </c>
      <c r="P25" s="15">
        <f>SUM(C25:N25)</f>
        <v>120000</v>
      </c>
    </row>
    <row r="26" spans="1:17" s="14" customFormat="1">
      <c r="A26" s="12" t="s">
        <v>51</v>
      </c>
      <c r="B26" s="12"/>
      <c r="C26" s="13" t="e">
        <f>C27</f>
        <v>#REF!</v>
      </c>
      <c r="D26" s="13" t="e">
        <f t="shared" ref="D26:N26" si="12">D27</f>
        <v>#REF!</v>
      </c>
      <c r="E26" s="13" t="e">
        <f t="shared" si="12"/>
        <v>#REF!</v>
      </c>
      <c r="F26" s="13" t="e">
        <f t="shared" si="12"/>
        <v>#REF!</v>
      </c>
      <c r="G26" s="13" t="e">
        <f t="shared" si="12"/>
        <v>#REF!</v>
      </c>
      <c r="H26" s="13" t="e">
        <f t="shared" si="12"/>
        <v>#REF!</v>
      </c>
      <c r="I26" s="13" t="e">
        <f t="shared" si="12"/>
        <v>#REF!</v>
      </c>
      <c r="J26" s="13" t="e">
        <f t="shared" si="12"/>
        <v>#REF!</v>
      </c>
      <c r="K26" s="13" t="e">
        <f t="shared" si="12"/>
        <v>#REF!</v>
      </c>
      <c r="L26" s="13" t="e">
        <f t="shared" si="12"/>
        <v>#REF!</v>
      </c>
      <c r="M26" s="13" t="e">
        <f t="shared" si="12"/>
        <v>#REF!</v>
      </c>
      <c r="N26" s="13" t="e">
        <f t="shared" si="12"/>
        <v>#REF!</v>
      </c>
      <c r="P26" s="15" t="e">
        <f t="shared" si="5"/>
        <v>#REF!</v>
      </c>
    </row>
    <row r="27" spans="1:17">
      <c r="A27" s="17" t="s">
        <v>198</v>
      </c>
      <c r="B27" s="19">
        <v>0.5</v>
      </c>
      <c r="C27" s="18" t="e">
        <f>'Fluxo de Caixa 04'!C28*0.07+'Fluxo de Caixa 04'!C28</f>
        <v>#REF!</v>
      </c>
      <c r="D27" s="18" t="e">
        <f>'Fluxo de Caixa 04'!D28*0.07+'Fluxo de Caixa 04'!D28</f>
        <v>#REF!</v>
      </c>
      <c r="E27" s="18" t="e">
        <f>'Fluxo de Caixa 04'!E28*0.07+'Fluxo de Caixa 04'!E28</f>
        <v>#REF!</v>
      </c>
      <c r="F27" s="18" t="e">
        <f>'Fluxo de Caixa 04'!F28*0.07+'Fluxo de Caixa 04'!F28</f>
        <v>#REF!</v>
      </c>
      <c r="G27" s="18" t="e">
        <f>'Fluxo de Caixa 04'!G28*0.07+'Fluxo de Caixa 04'!G28</f>
        <v>#REF!</v>
      </c>
      <c r="H27" s="18" t="e">
        <f>'Fluxo de Caixa 04'!H28*0.07+'Fluxo de Caixa 04'!H28</f>
        <v>#REF!</v>
      </c>
      <c r="I27" s="18" t="e">
        <f>'Fluxo de Caixa 04'!I28*0.07+'Fluxo de Caixa 04'!I28</f>
        <v>#REF!</v>
      </c>
      <c r="J27" s="18" t="e">
        <f>'Fluxo de Caixa 04'!J28*0.07+'Fluxo de Caixa 04'!J28</f>
        <v>#REF!</v>
      </c>
      <c r="K27" s="18" t="e">
        <f>'Fluxo de Caixa 04'!K28*0.07+'Fluxo de Caixa 04'!K28</f>
        <v>#REF!</v>
      </c>
      <c r="L27" s="18" t="e">
        <f>'Fluxo de Caixa 04'!L28*0.07+'Fluxo de Caixa 04'!L28</f>
        <v>#REF!</v>
      </c>
      <c r="M27" s="18" t="e">
        <f>'Fluxo de Caixa 04'!M28*0.07+'Fluxo de Caixa 04'!M28</f>
        <v>#REF!</v>
      </c>
      <c r="N27" s="18" t="e">
        <f>'Fluxo de Caixa 04'!N28*0.07+'Fluxo de Caixa 04'!N28</f>
        <v>#REF!</v>
      </c>
      <c r="P27" s="15" t="e">
        <f t="shared" si="5"/>
        <v>#REF!</v>
      </c>
    </row>
    <row r="28" spans="1:17" s="14" customFormat="1">
      <c r="A28" s="12" t="s">
        <v>52</v>
      </c>
      <c r="B28" s="12"/>
      <c r="C28" s="13" t="e">
        <f t="shared" ref="C28:N28" si="13">SUM(C29:C32)</f>
        <v>#REF!</v>
      </c>
      <c r="D28" s="13" t="e">
        <f t="shared" si="13"/>
        <v>#REF!</v>
      </c>
      <c r="E28" s="13" t="e">
        <f t="shared" si="13"/>
        <v>#REF!</v>
      </c>
      <c r="F28" s="13" t="e">
        <f t="shared" si="13"/>
        <v>#REF!</v>
      </c>
      <c r="G28" s="13" t="e">
        <f t="shared" si="13"/>
        <v>#REF!</v>
      </c>
      <c r="H28" s="13" t="e">
        <f t="shared" si="13"/>
        <v>#REF!</v>
      </c>
      <c r="I28" s="13" t="e">
        <f t="shared" si="13"/>
        <v>#REF!</v>
      </c>
      <c r="J28" s="13" t="e">
        <f t="shared" si="13"/>
        <v>#REF!</v>
      </c>
      <c r="K28" s="13" t="e">
        <f t="shared" si="13"/>
        <v>#REF!</v>
      </c>
      <c r="L28" s="13" t="e">
        <f t="shared" si="13"/>
        <v>#REF!</v>
      </c>
      <c r="M28" s="13" t="e">
        <f t="shared" si="13"/>
        <v>#REF!</v>
      </c>
      <c r="N28" s="13" t="e">
        <f t="shared" si="13"/>
        <v>#REF!</v>
      </c>
      <c r="P28" s="15" t="e">
        <f t="shared" si="5"/>
        <v>#REF!</v>
      </c>
      <c r="Q28" s="25"/>
    </row>
    <row r="29" spans="1:17">
      <c r="A29" s="17" t="str">
        <f>'[2]custos fixos anual'!A12:C12</f>
        <v>Contador</v>
      </c>
      <c r="B29" s="17"/>
      <c r="C29" s="18" t="e">
        <f>'Fluxo de Caixa 04'!C30*0.07+'Fluxo de Caixa 04'!C30</f>
        <v>#REF!</v>
      </c>
      <c r="D29" s="18" t="e">
        <f>'Fluxo de Caixa 04'!D30*0.07+'Fluxo de Caixa 04'!D30</f>
        <v>#REF!</v>
      </c>
      <c r="E29" s="18" t="e">
        <f>'Fluxo de Caixa 04'!E30*0.07+'Fluxo de Caixa 04'!E30</f>
        <v>#REF!</v>
      </c>
      <c r="F29" s="18" t="e">
        <f>'Fluxo de Caixa 04'!F30*0.07+'Fluxo de Caixa 04'!F30</f>
        <v>#REF!</v>
      </c>
      <c r="G29" s="18" t="e">
        <f>'Fluxo de Caixa 04'!G30*0.07+'Fluxo de Caixa 04'!G30</f>
        <v>#REF!</v>
      </c>
      <c r="H29" s="18" t="e">
        <f>'Fluxo de Caixa 04'!H30*0.07+'Fluxo de Caixa 04'!H30</f>
        <v>#REF!</v>
      </c>
      <c r="I29" s="18" t="e">
        <f>'Fluxo de Caixa 04'!I30*0.07+'Fluxo de Caixa 04'!I30</f>
        <v>#REF!</v>
      </c>
      <c r="J29" s="18" t="e">
        <f>'Fluxo de Caixa 04'!J30*0.07+'Fluxo de Caixa 04'!J30</f>
        <v>#REF!</v>
      </c>
      <c r="K29" s="18" t="e">
        <f>'Fluxo de Caixa 04'!K30*0.07+'Fluxo de Caixa 04'!K30</f>
        <v>#REF!</v>
      </c>
      <c r="L29" s="18" t="e">
        <f>'Fluxo de Caixa 04'!L30*0.07+'Fluxo de Caixa 04'!L30</f>
        <v>#REF!</v>
      </c>
      <c r="M29" s="18" t="e">
        <f>'Fluxo de Caixa 04'!M30*0.07+'Fluxo de Caixa 04'!M30</f>
        <v>#REF!</v>
      </c>
      <c r="N29" s="18" t="e">
        <f>'Fluxo de Caixa 04'!N30*0.07+'Fluxo de Caixa 04'!N30</f>
        <v>#REF!</v>
      </c>
      <c r="P29" s="15" t="e">
        <f>SUM(C29:N29)</f>
        <v>#REF!</v>
      </c>
    </row>
    <row r="30" spans="1:17">
      <c r="A30" s="17" t="str">
        <f>'[2]custos fixos anual'!A10:C10</f>
        <v>Material de Escritório</v>
      </c>
      <c r="B30" s="17"/>
      <c r="C30" s="18">
        <f>'Fluxo de Caixa 04'!C31*0.07+'Fluxo de Caixa 04'!C31</f>
        <v>0</v>
      </c>
      <c r="D30" s="18">
        <f>'Fluxo de Caixa 04'!D31*0.07+'Fluxo de Caixa 04'!D31</f>
        <v>0</v>
      </c>
      <c r="E30" s="18">
        <f>'Fluxo de Caixa 04'!E31*0.07+'Fluxo de Caixa 04'!E31</f>
        <v>0</v>
      </c>
      <c r="F30" s="18">
        <f>'Fluxo de Caixa 04'!F31*0.07+'Fluxo de Caixa 04'!F31</f>
        <v>0</v>
      </c>
      <c r="G30" s="18">
        <f>'Fluxo de Caixa 04'!G31*0.07+'Fluxo de Caixa 04'!G31</f>
        <v>0</v>
      </c>
      <c r="H30" s="18">
        <f>'Fluxo de Caixa 04'!H31*0.07+'Fluxo de Caixa 04'!H31</f>
        <v>0</v>
      </c>
      <c r="I30" s="18">
        <f>'Fluxo de Caixa 04'!I31*0.07+'Fluxo de Caixa 04'!I31</f>
        <v>0</v>
      </c>
      <c r="J30" s="18">
        <f>'Fluxo de Caixa 04'!J31*0.07+'Fluxo de Caixa 04'!J31</f>
        <v>0</v>
      </c>
      <c r="K30" s="18">
        <f>'Fluxo de Caixa 04'!K31*0.07+'Fluxo de Caixa 04'!K31</f>
        <v>0</v>
      </c>
      <c r="L30" s="18">
        <f>'Fluxo de Caixa 04'!L31*0.07+'Fluxo de Caixa 04'!L31</f>
        <v>0</v>
      </c>
      <c r="M30" s="18">
        <f>'Fluxo de Caixa 04'!M31*0.07+'Fluxo de Caixa 04'!M31</f>
        <v>0</v>
      </c>
      <c r="N30" s="18">
        <f>'Fluxo de Caixa 04'!N31*0.07+'Fluxo de Caixa 04'!N31</f>
        <v>0</v>
      </c>
      <c r="P30" s="15">
        <f>SUM(C30:N30)</f>
        <v>0</v>
      </c>
    </row>
    <row r="31" spans="1:17">
      <c r="A31" s="17" t="str">
        <f>'[2]custos fixos anual'!A14:C14</f>
        <v>Empréstimo</v>
      </c>
      <c r="B31" s="17"/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P31" s="15">
        <f>SUM(C31:N31)</f>
        <v>0</v>
      </c>
    </row>
    <row r="32" spans="1:17">
      <c r="A32" s="17" t="str">
        <f>'[2]custos fixos anual'!A16:C16</f>
        <v>Salário + Encargos</v>
      </c>
      <c r="B32" s="17"/>
      <c r="C32" s="18" t="e">
        <f>_xlfn.SINGLE(Salários!#REF!)</f>
        <v>#REF!</v>
      </c>
      <c r="D32" s="18" t="e">
        <f>C32</f>
        <v>#REF!</v>
      </c>
      <c r="E32" s="18" t="e">
        <f>D32</f>
        <v>#REF!</v>
      </c>
      <c r="F32" s="18" t="e">
        <f t="shared" ref="F32" si="14">E32</f>
        <v>#REF!</v>
      </c>
      <c r="G32" s="18" t="e">
        <f>F32</f>
        <v>#REF!</v>
      </c>
      <c r="H32" s="18" t="e">
        <f t="shared" ref="H32" si="15">G32</f>
        <v>#REF!</v>
      </c>
      <c r="I32" s="18" t="e">
        <f>H32</f>
        <v>#REF!</v>
      </c>
      <c r="J32" s="18" t="e">
        <f t="shared" ref="J32" si="16">I32</f>
        <v>#REF!</v>
      </c>
      <c r="K32" s="18" t="e">
        <f>J32</f>
        <v>#REF!</v>
      </c>
      <c r="L32" s="18" t="e">
        <f t="shared" ref="L32" si="17">K32</f>
        <v>#REF!</v>
      </c>
      <c r="M32" s="18" t="e">
        <f>L32</f>
        <v>#REF!</v>
      </c>
      <c r="N32" s="18" t="e">
        <f t="shared" ref="N32" si="18">M32</f>
        <v>#REF!</v>
      </c>
      <c r="P32" s="15" t="e">
        <f>SUM(C32:N32)</f>
        <v>#REF!</v>
      </c>
    </row>
    <row r="33" spans="1:16" s="14" customFormat="1">
      <c r="A33" s="12" t="s">
        <v>53</v>
      </c>
      <c r="B33" s="12"/>
      <c r="C33" s="13" t="e">
        <f t="shared" ref="C33:N33" si="19">C3-C6+C2</f>
        <v>#REF!</v>
      </c>
      <c r="D33" s="13" t="e">
        <f t="shared" si="19"/>
        <v>#REF!</v>
      </c>
      <c r="E33" s="13" t="e">
        <f t="shared" si="19"/>
        <v>#REF!</v>
      </c>
      <c r="F33" s="13" t="e">
        <f t="shared" si="19"/>
        <v>#REF!</v>
      </c>
      <c r="G33" s="13" t="e">
        <f t="shared" si="19"/>
        <v>#REF!</v>
      </c>
      <c r="H33" s="13" t="e">
        <f t="shared" si="19"/>
        <v>#REF!</v>
      </c>
      <c r="I33" s="13" t="e">
        <f t="shared" si="19"/>
        <v>#REF!</v>
      </c>
      <c r="J33" s="13" t="e">
        <f t="shared" si="19"/>
        <v>#REF!</v>
      </c>
      <c r="K33" s="13" t="e">
        <f t="shared" si="19"/>
        <v>#REF!</v>
      </c>
      <c r="L33" s="13" t="e">
        <f t="shared" si="19"/>
        <v>#REF!</v>
      </c>
      <c r="M33" s="13" t="e">
        <f t="shared" si="19"/>
        <v>#REF!</v>
      </c>
      <c r="N33" s="13" t="e">
        <f t="shared" si="19"/>
        <v>#REF!</v>
      </c>
      <c r="P33" s="15" t="e">
        <f>N33</f>
        <v>#REF!</v>
      </c>
    </row>
    <row r="34" spans="1:16" ht="10.5" customHeight="1">
      <c r="A34" s="17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P34" s="15"/>
    </row>
    <row r="35" spans="1:16" s="14" customFormat="1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6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6" s="14" customFormat="1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6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6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6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6" s="14" customFormat="1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F0"/>
  </sheetPr>
  <dimension ref="B3:K29"/>
  <sheetViews>
    <sheetView showGridLines="0" topLeftCell="B1" workbookViewId="0">
      <selection activeCell="E9" sqref="E9"/>
    </sheetView>
  </sheetViews>
  <sheetFormatPr defaultColWidth="9.140625" defaultRowHeight="15"/>
  <cols>
    <col min="1" max="1" width="9.140625" style="1"/>
    <col min="2" max="2" width="7.140625" style="1" bestFit="1" customWidth="1"/>
    <col min="3" max="3" width="46.85546875" style="1" customWidth="1"/>
    <col min="4" max="4" width="24.5703125" style="1" customWidth="1"/>
    <col min="5" max="5" width="27.140625" style="1" customWidth="1"/>
    <col min="6" max="6" width="34.5703125" style="1" customWidth="1"/>
    <col min="7" max="7" width="22" style="31" bestFit="1" customWidth="1"/>
    <col min="8" max="8" width="18.140625" style="31" bestFit="1" customWidth="1"/>
    <col min="9" max="9" width="4.85546875" style="1" customWidth="1"/>
    <col min="10" max="10" width="22.5703125" style="1" bestFit="1" customWidth="1"/>
    <col min="11" max="11" width="19" style="1" customWidth="1"/>
    <col min="12" max="12" width="11.5703125" style="1" customWidth="1"/>
    <col min="13" max="16384" width="9.140625" style="1"/>
  </cols>
  <sheetData>
    <row r="3" spans="2:11">
      <c r="D3" s="1" t="s">
        <v>267</v>
      </c>
    </row>
    <row r="6" spans="2:11" ht="15.75" thickBot="1"/>
    <row r="7" spans="2:11">
      <c r="B7" s="460" t="s">
        <v>19</v>
      </c>
      <c r="C7" s="461" t="s">
        <v>20</v>
      </c>
      <c r="D7" s="461" t="s">
        <v>461</v>
      </c>
      <c r="E7" s="461" t="s">
        <v>462</v>
      </c>
      <c r="F7" s="461" t="s">
        <v>459</v>
      </c>
      <c r="G7" s="462" t="s">
        <v>248</v>
      </c>
      <c r="H7" s="463" t="s">
        <v>460</v>
      </c>
    </row>
    <row r="8" spans="2:11">
      <c r="B8" s="464">
        <v>1</v>
      </c>
      <c r="C8" s="428" t="s">
        <v>29</v>
      </c>
      <c r="D8" s="428"/>
      <c r="E8" s="428"/>
      <c r="F8" s="428"/>
      <c r="G8" s="428"/>
      <c r="H8" s="465"/>
    </row>
    <row r="9" spans="2:11">
      <c r="B9" s="464">
        <v>1</v>
      </c>
      <c r="C9" s="429" t="s">
        <v>75</v>
      </c>
      <c r="D9" s="429">
        <v>2</v>
      </c>
      <c r="E9" s="429"/>
      <c r="F9" s="429"/>
      <c r="G9" s="430"/>
      <c r="H9" s="466"/>
    </row>
    <row r="10" spans="2:11">
      <c r="B10" s="464">
        <v>1</v>
      </c>
      <c r="C10" s="429" t="s">
        <v>76</v>
      </c>
      <c r="D10" s="429">
        <v>1</v>
      </c>
      <c r="E10" s="429"/>
      <c r="F10" s="429"/>
      <c r="G10" s="430"/>
      <c r="H10" s="466"/>
      <c r="J10" s="5"/>
    </row>
    <row r="11" spans="2:11">
      <c r="B11" s="464">
        <v>1</v>
      </c>
      <c r="C11" s="429" t="s">
        <v>77</v>
      </c>
      <c r="D11" s="429">
        <v>1</v>
      </c>
      <c r="E11" s="429"/>
      <c r="F11" s="429"/>
      <c r="G11" s="430"/>
      <c r="H11" s="466"/>
      <c r="J11" s="304"/>
      <c r="K11" s="305"/>
    </row>
    <row r="12" spans="2:11">
      <c r="B12" s="464">
        <v>1</v>
      </c>
      <c r="C12" s="431" t="s">
        <v>78</v>
      </c>
      <c r="D12" s="431">
        <v>1</v>
      </c>
      <c r="E12" s="431"/>
      <c r="F12" s="431"/>
      <c r="G12" s="430"/>
      <c r="H12" s="466"/>
      <c r="J12" s="304"/>
      <c r="K12" s="305"/>
    </row>
    <row r="13" spans="2:11">
      <c r="B13" s="464">
        <v>1</v>
      </c>
      <c r="C13" s="431" t="s">
        <v>79</v>
      </c>
      <c r="D13" s="431">
        <v>0</v>
      </c>
      <c r="E13" s="431"/>
      <c r="F13" s="431"/>
      <c r="G13" s="430"/>
      <c r="H13" s="466"/>
      <c r="J13" s="304"/>
      <c r="K13" s="305"/>
    </row>
    <row r="14" spans="2:11">
      <c r="B14" s="467">
        <v>1</v>
      </c>
      <c r="C14" s="429" t="s">
        <v>367</v>
      </c>
      <c r="D14" s="429">
        <v>2</v>
      </c>
      <c r="E14" s="429"/>
      <c r="F14" s="429"/>
      <c r="G14" s="432"/>
      <c r="H14" s="466"/>
      <c r="J14" s="304"/>
      <c r="K14" s="305"/>
    </row>
    <row r="15" spans="2:11">
      <c r="B15" s="467">
        <v>1</v>
      </c>
      <c r="C15" s="429" t="s">
        <v>80</v>
      </c>
      <c r="D15" s="429">
        <v>1</v>
      </c>
      <c r="E15" s="429"/>
      <c r="F15" s="429"/>
      <c r="G15" s="432"/>
      <c r="H15" s="466"/>
      <c r="J15" s="304"/>
      <c r="K15" s="305"/>
    </row>
    <row r="16" spans="2:11">
      <c r="B16" s="467">
        <v>2</v>
      </c>
      <c r="C16" s="429" t="s">
        <v>81</v>
      </c>
      <c r="D16" s="429">
        <v>3</v>
      </c>
      <c r="E16" s="429"/>
      <c r="F16" s="429"/>
      <c r="G16" s="432"/>
      <c r="H16" s="466"/>
      <c r="J16" s="304"/>
      <c r="K16" s="305"/>
    </row>
    <row r="17" spans="2:11">
      <c r="B17" s="467">
        <v>1</v>
      </c>
      <c r="C17" s="431" t="s">
        <v>82</v>
      </c>
      <c r="D17" s="431">
        <v>2</v>
      </c>
      <c r="E17" s="431"/>
      <c r="F17" s="431"/>
      <c r="G17" s="433"/>
      <c r="H17" s="466"/>
      <c r="J17" s="304"/>
      <c r="K17" s="305"/>
    </row>
    <row r="18" spans="2:11">
      <c r="B18" s="467">
        <v>1</v>
      </c>
      <c r="C18" s="431" t="s">
        <v>83</v>
      </c>
      <c r="D18" s="431">
        <v>0</v>
      </c>
      <c r="E18" s="431"/>
      <c r="F18" s="431"/>
      <c r="G18" s="433"/>
      <c r="H18" s="466"/>
      <c r="J18" s="304"/>
      <c r="K18" s="305"/>
    </row>
    <row r="19" spans="2:11">
      <c r="B19" s="467">
        <v>1</v>
      </c>
      <c r="C19" s="431" t="s">
        <v>84</v>
      </c>
      <c r="D19" s="431">
        <v>3</v>
      </c>
      <c r="E19" s="431"/>
      <c r="F19" s="431"/>
      <c r="G19" s="433"/>
      <c r="H19" s="466"/>
      <c r="J19" s="304"/>
      <c r="K19" s="306"/>
    </row>
    <row r="20" spans="2:11">
      <c r="B20" s="467">
        <v>1</v>
      </c>
      <c r="C20" s="431" t="s">
        <v>85</v>
      </c>
      <c r="D20" s="431">
        <v>1</v>
      </c>
      <c r="E20" s="431"/>
      <c r="F20" s="431"/>
      <c r="G20" s="432"/>
      <c r="H20" s="466"/>
      <c r="J20" s="304"/>
      <c r="K20" s="306"/>
    </row>
    <row r="21" spans="2:11">
      <c r="B21" s="467">
        <v>2</v>
      </c>
      <c r="C21" s="429" t="s">
        <v>86</v>
      </c>
      <c r="D21" s="429">
        <v>1</v>
      </c>
      <c r="E21" s="429"/>
      <c r="F21" s="429"/>
      <c r="G21" s="433"/>
      <c r="H21" s="466"/>
    </row>
    <row r="22" spans="2:11">
      <c r="B22" s="467">
        <v>2</v>
      </c>
      <c r="C22" s="431" t="s">
        <v>87</v>
      </c>
      <c r="D22" s="431">
        <v>5</v>
      </c>
      <c r="E22" s="431"/>
      <c r="F22" s="431"/>
      <c r="G22" s="433"/>
      <c r="H22" s="466"/>
    </row>
    <row r="23" spans="2:11">
      <c r="B23" s="467">
        <v>1</v>
      </c>
      <c r="C23" s="431" t="s">
        <v>88</v>
      </c>
      <c r="D23" s="431">
        <v>1</v>
      </c>
      <c r="E23" s="431"/>
      <c r="F23" s="431"/>
      <c r="G23" s="433"/>
      <c r="H23" s="466"/>
    </row>
    <row r="24" spans="2:11">
      <c r="B24" s="467">
        <v>1</v>
      </c>
      <c r="C24" s="431" t="s">
        <v>89</v>
      </c>
      <c r="D24" s="431">
        <v>1</v>
      </c>
      <c r="E24" s="431"/>
      <c r="F24" s="431"/>
      <c r="G24" s="433"/>
      <c r="H24" s="466"/>
    </row>
    <row r="25" spans="2:11">
      <c r="B25" s="467">
        <v>4</v>
      </c>
      <c r="C25" s="431" t="s">
        <v>90</v>
      </c>
      <c r="D25" s="431">
        <v>5</v>
      </c>
      <c r="E25" s="431"/>
      <c r="F25" s="431"/>
      <c r="G25" s="433"/>
      <c r="H25" s="466"/>
    </row>
    <row r="26" spans="2:11">
      <c r="B26" s="467">
        <v>1</v>
      </c>
      <c r="C26" s="431" t="s">
        <v>91</v>
      </c>
      <c r="D26" s="431">
        <v>2</v>
      </c>
      <c r="E26" s="431"/>
      <c r="F26" s="431"/>
      <c r="G26" s="433"/>
      <c r="H26" s="466"/>
    </row>
    <row r="27" spans="2:11">
      <c r="B27" s="468">
        <v>3</v>
      </c>
      <c r="C27" s="431" t="s">
        <v>92</v>
      </c>
      <c r="D27" s="431">
        <v>5</v>
      </c>
      <c r="E27" s="431"/>
      <c r="F27" s="431"/>
      <c r="G27" s="433"/>
      <c r="H27" s="466"/>
    </row>
    <row r="28" spans="2:11" ht="15.75" thickBot="1">
      <c r="B28" s="469">
        <v>2</v>
      </c>
      <c r="C28" s="470"/>
      <c r="D28" s="470"/>
      <c r="E28" s="470"/>
      <c r="F28" s="470"/>
      <c r="G28" s="471"/>
      <c r="H28" s="472"/>
    </row>
    <row r="29" spans="2:11">
      <c r="B29" s="397"/>
      <c r="C29" s="397"/>
      <c r="D29" s="397"/>
      <c r="E29" s="397"/>
      <c r="F29" s="397"/>
      <c r="G29" s="398" t="s">
        <v>22</v>
      </c>
      <c r="H29" s="398">
        <f>SUM(H8:H28)</f>
        <v>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5">
    <tabColor rgb="FF00B050"/>
  </sheetPr>
  <dimension ref="A1:F17"/>
  <sheetViews>
    <sheetView workbookViewId="0">
      <selection activeCell="E1" sqref="E1:F14"/>
    </sheetView>
  </sheetViews>
  <sheetFormatPr defaultRowHeight="15"/>
  <cols>
    <col min="1" max="1" width="28.42578125" bestFit="1" customWidth="1"/>
    <col min="2" max="2" width="13.42578125" bestFit="1" customWidth="1"/>
    <col min="5" max="5" width="35.85546875" bestFit="1" customWidth="1"/>
    <col min="6" max="6" width="13.5703125" bestFit="1" customWidth="1"/>
  </cols>
  <sheetData>
    <row r="1" spans="1:6">
      <c r="A1" s="536" t="s">
        <v>376</v>
      </c>
      <c r="B1" s="536"/>
      <c r="E1" s="536" t="s">
        <v>378</v>
      </c>
      <c r="F1" s="536"/>
    </row>
    <row r="2" spans="1:6">
      <c r="A2" s="536" t="s">
        <v>377</v>
      </c>
      <c r="B2" s="536"/>
      <c r="E2" s="536" t="s">
        <v>377</v>
      </c>
      <c r="F2" s="536"/>
    </row>
    <row r="3" spans="1:6">
      <c r="A3" s="249" t="s">
        <v>45</v>
      </c>
      <c r="B3" s="250">
        <v>3260</v>
      </c>
      <c r="E3" s="253" t="s">
        <v>46</v>
      </c>
      <c r="F3" s="254">
        <v>242073.51666666666</v>
      </c>
    </row>
    <row r="4" spans="1:6">
      <c r="A4" s="251" t="s">
        <v>365</v>
      </c>
      <c r="B4" s="252">
        <v>80</v>
      </c>
      <c r="E4" s="255" t="s">
        <v>190</v>
      </c>
      <c r="F4" s="252">
        <v>150</v>
      </c>
    </row>
    <row r="5" spans="1:6">
      <c r="A5" s="251" t="s">
        <v>244</v>
      </c>
      <c r="B5" s="252">
        <v>500</v>
      </c>
      <c r="E5" s="255" t="s">
        <v>307</v>
      </c>
      <c r="F5" s="252">
        <v>134771.15166666667</v>
      </c>
    </row>
    <row r="6" spans="1:6">
      <c r="A6" s="251" t="s">
        <v>366</v>
      </c>
      <c r="B6" s="252">
        <v>200</v>
      </c>
      <c r="E6" s="255" t="s">
        <v>308</v>
      </c>
      <c r="F6" s="252">
        <v>57759.065000000002</v>
      </c>
    </row>
    <row r="7" spans="1:6">
      <c r="A7" s="251" t="s">
        <v>367</v>
      </c>
      <c r="B7" s="252">
        <v>80</v>
      </c>
      <c r="E7" s="255" t="s">
        <v>310</v>
      </c>
      <c r="F7" s="252">
        <v>49393.299999999996</v>
      </c>
    </row>
    <row r="8" spans="1:6">
      <c r="A8" s="251" t="s">
        <v>240</v>
      </c>
      <c r="B8" s="252">
        <v>1200</v>
      </c>
      <c r="E8" s="253" t="s">
        <v>48</v>
      </c>
      <c r="F8" s="254">
        <v>48233.670565476183</v>
      </c>
    </row>
    <row r="9" spans="1:6">
      <c r="A9" s="251" t="s">
        <v>368</v>
      </c>
      <c r="B9" s="252">
        <v>1200</v>
      </c>
      <c r="E9" s="255" t="s">
        <v>363</v>
      </c>
      <c r="F9" s="252">
        <v>44593.393541666657</v>
      </c>
    </row>
    <row r="10" spans="1:6">
      <c r="A10" s="253" t="s">
        <v>50</v>
      </c>
      <c r="B10" s="254">
        <v>8000</v>
      </c>
      <c r="E10" s="255" t="s">
        <v>49</v>
      </c>
      <c r="F10" s="252">
        <v>3640.2770238095231</v>
      </c>
    </row>
    <row r="11" spans="1:6">
      <c r="A11" s="255" t="s">
        <v>306</v>
      </c>
      <c r="B11" s="252">
        <v>8000</v>
      </c>
      <c r="E11" s="255" t="s">
        <v>364</v>
      </c>
      <c r="F11" s="252">
        <v>0</v>
      </c>
    </row>
    <row r="12" spans="1:6">
      <c r="A12" s="253" t="s">
        <v>52</v>
      </c>
      <c r="B12" s="254">
        <v>24255.545999999998</v>
      </c>
      <c r="E12" s="249" t="s">
        <v>51</v>
      </c>
      <c r="F12" s="250">
        <f>F13</f>
        <v>800</v>
      </c>
    </row>
    <row r="13" spans="1:6">
      <c r="A13" s="255" t="s">
        <v>369</v>
      </c>
      <c r="B13" s="252">
        <v>1900</v>
      </c>
      <c r="E13" s="251" t="s">
        <v>198</v>
      </c>
      <c r="F13" s="257">
        <v>800</v>
      </c>
    </row>
    <row r="14" spans="1:6">
      <c r="A14" s="255" t="s">
        <v>370</v>
      </c>
      <c r="B14" s="252">
        <v>573.5</v>
      </c>
      <c r="E14" s="258" t="s">
        <v>13</v>
      </c>
      <c r="F14" s="259">
        <f>F3+F8+F12</f>
        <v>291107.18723214284</v>
      </c>
    </row>
    <row r="15" spans="1:6">
      <c r="A15" s="255" t="s">
        <v>371</v>
      </c>
      <c r="B15" s="252">
        <v>3416.71</v>
      </c>
    </row>
    <row r="16" spans="1:6">
      <c r="A16" s="255" t="s">
        <v>372</v>
      </c>
      <c r="B16" s="252">
        <v>18365.335999999999</v>
      </c>
    </row>
    <row r="17" spans="1:2">
      <c r="A17" s="253" t="s">
        <v>13</v>
      </c>
      <c r="B17" s="256">
        <f>B3+B10+B12</f>
        <v>35515.546000000002</v>
      </c>
    </row>
  </sheetData>
  <mergeCells count="4">
    <mergeCell ref="A1:B1"/>
    <mergeCell ref="A2:B2"/>
    <mergeCell ref="E1:F1"/>
    <mergeCell ref="E2:F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7">
    <tabColor rgb="FF00B050"/>
  </sheetPr>
  <dimension ref="A1:AE16"/>
  <sheetViews>
    <sheetView workbookViewId="0">
      <selection activeCell="E18" sqref="E18"/>
    </sheetView>
  </sheetViews>
  <sheetFormatPr defaultRowHeight="15"/>
  <cols>
    <col min="2" max="2" width="22.85546875" customWidth="1"/>
    <col min="3" max="3" width="7.5703125" bestFit="1" customWidth="1"/>
    <col min="4" max="4" width="15.42578125" bestFit="1" customWidth="1"/>
    <col min="5" max="5" width="13.85546875" bestFit="1" customWidth="1"/>
    <col min="6" max="6" width="15.85546875" bestFit="1" customWidth="1"/>
    <col min="8" max="8" width="4.7109375" customWidth="1"/>
    <col min="9" max="9" width="12.7109375" bestFit="1" customWidth="1"/>
    <col min="10" max="10" width="13.28515625" bestFit="1" customWidth="1"/>
    <col min="11" max="11" width="7.28515625" style="151" customWidth="1"/>
    <col min="12" max="12" width="3.85546875" customWidth="1"/>
    <col min="13" max="13" width="7.5703125" customWidth="1"/>
    <col min="14" max="14" width="13.28515625" bestFit="1" customWidth="1"/>
    <col min="15" max="15" width="13.85546875" bestFit="1" customWidth="1"/>
    <col min="16" max="16" width="8.7109375" style="151"/>
    <col min="17" max="17" width="4.140625" customWidth="1"/>
    <col min="19" max="19" width="12.7109375" bestFit="1" customWidth="1"/>
    <col min="21" max="21" width="8.7109375" style="151"/>
    <col min="22" max="22" width="3.140625" customWidth="1"/>
    <col min="24" max="24" width="14.28515625" bestFit="1" customWidth="1"/>
    <col min="26" max="26" width="8.7109375" style="151"/>
    <col min="27" max="27" width="4.7109375" customWidth="1"/>
    <col min="29" max="29" width="12.5703125" bestFit="1" customWidth="1"/>
    <col min="31" max="31" width="8.7109375" style="151"/>
  </cols>
  <sheetData>
    <row r="1" spans="1:30">
      <c r="B1" s="537" t="s">
        <v>267</v>
      </c>
      <c r="C1" s="538"/>
      <c r="D1" s="538"/>
      <c r="E1" s="538"/>
      <c r="F1" s="539"/>
    </row>
    <row r="2" spans="1:30">
      <c r="A2" t="s">
        <v>268</v>
      </c>
      <c r="B2" s="152"/>
      <c r="D2" s="153" t="e">
        <f>SUM(D3:D6)</f>
        <v>#REF!</v>
      </c>
      <c r="F2" s="154"/>
      <c r="I2" s="525" t="s">
        <v>235</v>
      </c>
      <c r="J2" s="525"/>
      <c r="N2" s="540" t="str">
        <f>B4</f>
        <v>Veículos</v>
      </c>
      <c r="O2" s="540"/>
      <c r="S2" s="540" t="e">
        <f>#REF!</f>
        <v>#REF!</v>
      </c>
      <c r="T2" s="540"/>
      <c r="X2" s="540" t="str">
        <f>B5</f>
        <v>Máquinas e Equip.</v>
      </c>
      <c r="Y2" s="540"/>
      <c r="AC2" s="525" t="str">
        <f>B6</f>
        <v>Moveis e Utens.</v>
      </c>
      <c r="AD2" s="525"/>
    </row>
    <row r="3" spans="1:30">
      <c r="A3">
        <v>1</v>
      </c>
      <c r="B3" s="152" t="str">
        <f>'[3]Investimento Inicial'!G3</f>
        <v>Capital de Giro</v>
      </c>
      <c r="D3" s="55">
        <f>'Investimento Inicial'!G8</f>
        <v>0</v>
      </c>
      <c r="F3" s="154"/>
      <c r="H3">
        <f>A3</f>
        <v>1</v>
      </c>
      <c r="I3" s="155">
        <f>D3</f>
        <v>0</v>
      </c>
      <c r="M3">
        <f>A4</f>
        <v>2</v>
      </c>
      <c r="N3" s="155">
        <f>D4</f>
        <v>0</v>
      </c>
      <c r="R3" t="e">
        <f>#REF!</f>
        <v>#REF!</v>
      </c>
      <c r="S3" s="155" t="e">
        <f>#REF!</f>
        <v>#REF!</v>
      </c>
      <c r="W3">
        <f>A5</f>
        <v>4</v>
      </c>
      <c r="X3" s="156" t="e">
        <f>D5</f>
        <v>#REF!</v>
      </c>
      <c r="AB3">
        <f>A6</f>
        <v>5</v>
      </c>
      <c r="AC3" s="156" t="e">
        <f>D6</f>
        <v>#REF!</v>
      </c>
    </row>
    <row r="4" spans="1:30">
      <c r="A4">
        <v>2</v>
      </c>
      <c r="B4" s="157" t="s">
        <v>96</v>
      </c>
      <c r="D4" s="55">
        <v>0</v>
      </c>
      <c r="F4" s="154"/>
      <c r="I4" s="154"/>
      <c r="N4" s="154"/>
      <c r="S4" s="154"/>
      <c r="X4" s="154"/>
      <c r="AC4" s="154"/>
    </row>
    <row r="5" spans="1:30">
      <c r="A5">
        <v>4</v>
      </c>
      <c r="B5" s="157" t="str">
        <f>'[3]Investimento Inicial'!G6</f>
        <v>Máquinas e Equip.</v>
      </c>
      <c r="D5" s="114" t="e">
        <f>'Investimento Inicial'!#REF!</f>
        <v>#REF!</v>
      </c>
      <c r="F5" s="154"/>
      <c r="I5" s="154"/>
      <c r="N5" s="154"/>
      <c r="S5" s="154"/>
      <c r="X5" s="154"/>
      <c r="AC5" s="154"/>
    </row>
    <row r="6" spans="1:30">
      <c r="A6">
        <v>5</v>
      </c>
      <c r="B6" s="152" t="s">
        <v>269</v>
      </c>
      <c r="D6" s="114" t="e">
        <f>'Investimento Inicial'!#REF!</f>
        <v>#REF!</v>
      </c>
      <c r="F6" s="154"/>
    </row>
    <row r="7" spans="1:30">
      <c r="A7">
        <v>6</v>
      </c>
      <c r="B7" s="152" t="s">
        <v>256</v>
      </c>
      <c r="D7" s="114"/>
      <c r="E7" s="55" t="e">
        <f>E14</f>
        <v>#REF!</v>
      </c>
      <c r="F7" s="154"/>
    </row>
    <row r="8" spans="1:30">
      <c r="A8">
        <v>6</v>
      </c>
      <c r="B8" s="158" t="s">
        <v>270</v>
      </c>
      <c r="C8" s="159"/>
      <c r="D8" s="160"/>
      <c r="E8" s="161">
        <v>0</v>
      </c>
      <c r="F8" s="162"/>
    </row>
    <row r="9" spans="1:30">
      <c r="D9" s="153"/>
    </row>
    <row r="10" spans="1:30">
      <c r="I10" s="525" t="s">
        <v>256</v>
      </c>
      <c r="J10" s="525"/>
      <c r="N10" s="525" t="s">
        <v>271</v>
      </c>
      <c r="O10" s="525"/>
    </row>
    <row r="11" spans="1:30">
      <c r="E11" s="7" t="e">
        <f>E7/3</f>
        <v>#REF!</v>
      </c>
      <c r="I11" s="163"/>
      <c r="J11" s="7" t="e">
        <f>E7</f>
        <v>#REF!</v>
      </c>
      <c r="K11" s="151">
        <v>6</v>
      </c>
      <c r="N11" s="163"/>
      <c r="O11" s="7">
        <f>E8</f>
        <v>0</v>
      </c>
      <c r="P11" s="151">
        <v>6</v>
      </c>
    </row>
    <row r="12" spans="1:30">
      <c r="I12" s="154"/>
      <c r="N12" s="154"/>
    </row>
    <row r="13" spans="1:30">
      <c r="I13" s="154"/>
      <c r="N13" s="154"/>
    </row>
    <row r="14" spans="1:30">
      <c r="E14" s="7" t="e">
        <f>D2-E8</f>
        <v>#REF!</v>
      </c>
      <c r="I14" s="154"/>
      <c r="N14" s="154"/>
    </row>
    <row r="15" spans="1:30">
      <c r="E15" s="7" t="e">
        <f>SUM(D3:D6)</f>
        <v>#REF!</v>
      </c>
    </row>
    <row r="16" spans="1:30">
      <c r="E16" s="7"/>
    </row>
  </sheetData>
  <mergeCells count="8">
    <mergeCell ref="AC2:AD2"/>
    <mergeCell ref="I10:J10"/>
    <mergeCell ref="N10:O10"/>
    <mergeCell ref="B1:F1"/>
    <mergeCell ref="I2:J2"/>
    <mergeCell ref="N2:O2"/>
    <mergeCell ref="S2:T2"/>
    <mergeCell ref="X2:Y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8">
    <tabColor rgb="FF00B050"/>
  </sheetPr>
  <dimension ref="A1:AE45"/>
  <sheetViews>
    <sheetView workbookViewId="0">
      <selection activeCell="F66" sqref="F66"/>
    </sheetView>
  </sheetViews>
  <sheetFormatPr defaultRowHeight="15"/>
  <cols>
    <col min="2" max="2" width="35.85546875" bestFit="1" customWidth="1"/>
    <col min="3" max="3" width="7.5703125" bestFit="1" customWidth="1"/>
    <col min="4" max="4" width="15.42578125" bestFit="1" customWidth="1"/>
    <col min="5" max="6" width="15.85546875" bestFit="1" customWidth="1"/>
    <col min="8" max="8" width="4.7109375" customWidth="1"/>
    <col min="9" max="10" width="15.85546875" bestFit="1" customWidth="1"/>
    <col min="11" max="11" width="7.28515625" style="151" customWidth="1"/>
    <col min="12" max="12" width="3.85546875" customWidth="1"/>
    <col min="13" max="13" width="7.5703125" customWidth="1"/>
    <col min="14" max="15" width="14.28515625" bestFit="1" customWidth="1"/>
    <col min="16" max="16" width="8.7109375" style="151"/>
    <col min="17" max="17" width="4.140625" customWidth="1"/>
    <col min="19" max="19" width="13.85546875" bestFit="1" customWidth="1"/>
    <col min="20" max="20" width="13.28515625" bestFit="1" customWidth="1"/>
    <col min="21" max="21" width="8.7109375" style="151"/>
    <col min="22" max="22" width="3.140625" customWidth="1"/>
    <col min="24" max="24" width="14.28515625" bestFit="1" customWidth="1"/>
    <col min="25" max="25" width="15.85546875" bestFit="1" customWidth="1"/>
    <col min="26" max="26" width="8.7109375" style="151"/>
    <col min="27" max="27" width="4.7109375" customWidth="1"/>
    <col min="29" max="29" width="14.28515625" bestFit="1" customWidth="1"/>
    <col min="30" max="30" width="13.85546875" bestFit="1" customWidth="1"/>
    <col min="31" max="31" width="8.7109375" style="151"/>
    <col min="32" max="32" width="4.85546875" customWidth="1"/>
  </cols>
  <sheetData>
    <row r="1" spans="1:31" ht="15.75">
      <c r="D1" s="153"/>
      <c r="H1" s="545" t="s">
        <v>272</v>
      </c>
      <c r="I1" s="545"/>
      <c r="J1" s="545"/>
      <c r="K1" s="545"/>
    </row>
    <row r="2" spans="1:31">
      <c r="B2" s="487" t="s">
        <v>288</v>
      </c>
      <c r="C2" s="487"/>
      <c r="D2" s="487"/>
      <c r="E2" s="487"/>
      <c r="F2" s="487"/>
    </row>
    <row r="3" spans="1:31">
      <c r="D3" t="s">
        <v>273</v>
      </c>
      <c r="E3" t="s">
        <v>274</v>
      </c>
      <c r="F3" t="s">
        <v>13</v>
      </c>
      <c r="I3" s="525" t="s">
        <v>235</v>
      </c>
      <c r="J3" s="525"/>
      <c r="N3" s="540" t="s">
        <v>96</v>
      </c>
      <c r="O3" s="540"/>
      <c r="S3" s="540" t="str">
        <f>'[3]Razonetes Ano1'!S3:T3</f>
        <v>Matéria Prima</v>
      </c>
      <c r="T3" s="540"/>
      <c r="X3" s="540" t="str">
        <f>'[3]Razonetes Ano1'!X3:Y3</f>
        <v>Máquinas e Equip.</v>
      </c>
      <c r="Y3" s="540"/>
      <c r="AC3" s="525" t="str">
        <f>'[3]Razonetes Ano1'!AC3:AD3</f>
        <v>Moveis e Utens.</v>
      </c>
      <c r="AD3" s="525"/>
    </row>
    <row r="4" spans="1:31">
      <c r="B4" s="165" t="s">
        <v>275</v>
      </c>
      <c r="C4" s="165"/>
      <c r="D4" s="153"/>
      <c r="E4" s="153"/>
      <c r="F4" s="166" t="e">
        <f>SUM(F5:F6)</f>
        <v>#REF!</v>
      </c>
      <c r="I4" s="175" t="e">
        <f>#REF!</f>
        <v>#REF!</v>
      </c>
      <c r="J4" s="7">
        <f>E44</f>
        <v>0</v>
      </c>
      <c r="K4" s="151">
        <v>17</v>
      </c>
      <c r="N4" s="175" t="e">
        <f>#REF!</f>
        <v>#REF!</v>
      </c>
      <c r="S4" s="175"/>
      <c r="X4" s="176" t="e">
        <f>#REF!</f>
        <v>#REF!</v>
      </c>
      <c r="AC4" s="176" t="e">
        <f>#REF!</f>
        <v>#REF!</v>
      </c>
    </row>
    <row r="5" spans="1:31">
      <c r="A5">
        <v>1</v>
      </c>
      <c r="C5" t="s">
        <v>276</v>
      </c>
      <c r="D5" s="7" t="e">
        <f>SUM('Fluxo de Caixa 02'!C5:M5)</f>
        <v>#REF!</v>
      </c>
      <c r="E5" s="21" t="e">
        <f>'Fluxo de Caixa 02'!N5</f>
        <v>#REF!</v>
      </c>
      <c r="F5" s="170" t="e">
        <f>SUM(D5:E5)</f>
        <v>#REF!</v>
      </c>
      <c r="H5">
        <v>1</v>
      </c>
      <c r="I5" s="164" t="e">
        <f>F5</f>
        <v>#REF!</v>
      </c>
      <c r="J5" s="7" t="e">
        <f>F9</f>
        <v>#REF!</v>
      </c>
      <c r="K5" s="151">
        <v>3</v>
      </c>
      <c r="N5" s="154"/>
      <c r="S5" s="154"/>
      <c r="X5" s="154"/>
      <c r="AC5" s="154"/>
    </row>
    <row r="6" spans="1:31">
      <c r="A6">
        <v>2</v>
      </c>
      <c r="C6" t="s">
        <v>277</v>
      </c>
      <c r="D6" s="21" t="e">
        <f>SUM('Fluxo de Caixa 02'!C4:M4)</f>
        <v>#REF!</v>
      </c>
      <c r="E6" s="21" t="e">
        <f>'Fluxo de Caixa 02'!N4</f>
        <v>#REF!</v>
      </c>
      <c r="F6" s="153" t="e">
        <f>SUM(D6:E6)</f>
        <v>#REF!</v>
      </c>
      <c r="H6">
        <v>16</v>
      </c>
      <c r="I6" s="174">
        <f>E43</f>
        <v>0</v>
      </c>
      <c r="J6" s="114" t="e">
        <f>F13</f>
        <v>#REF!</v>
      </c>
      <c r="K6" s="151">
        <v>4</v>
      </c>
      <c r="N6" s="154"/>
      <c r="S6" s="154"/>
      <c r="X6" s="154"/>
      <c r="AC6" s="154"/>
    </row>
    <row r="7" spans="1:31">
      <c r="I7" s="154"/>
      <c r="J7" s="114">
        <f>F17</f>
        <v>0</v>
      </c>
      <c r="K7" s="151">
        <v>5</v>
      </c>
      <c r="N7" s="154"/>
      <c r="S7" s="154"/>
      <c r="X7" s="154"/>
      <c r="AC7" s="154"/>
    </row>
    <row r="8" spans="1:31">
      <c r="A8">
        <v>3</v>
      </c>
      <c r="B8" s="165" t="s">
        <v>278</v>
      </c>
      <c r="F8" s="166" t="e">
        <f>SUM(F9:F10)</f>
        <v>#REF!</v>
      </c>
      <c r="I8" s="154"/>
      <c r="J8" s="7">
        <f>F19</f>
        <v>900</v>
      </c>
      <c r="K8" s="151">
        <v>7</v>
      </c>
    </row>
    <row r="9" spans="1:31">
      <c r="A9">
        <v>3</v>
      </c>
      <c r="B9" t="str">
        <f>'[3]Fluxo de Caixa 01'!A19</f>
        <v>Simples</v>
      </c>
      <c r="D9" s="21"/>
      <c r="E9" s="21"/>
      <c r="F9" s="170" t="e">
        <f>'Fluxo de Caixa 02'!P22</f>
        <v>#REF!</v>
      </c>
      <c r="G9" t="s">
        <v>289</v>
      </c>
      <c r="I9" s="154"/>
      <c r="J9" s="7">
        <f>F22</f>
        <v>0</v>
      </c>
      <c r="K9" s="151">
        <v>8</v>
      </c>
    </row>
    <row r="10" spans="1:31">
      <c r="A10">
        <v>3</v>
      </c>
      <c r="B10" t="str">
        <f>'[3]Balanço Patrimonial'!H10</f>
        <v>(Provisão para Devedores Duvidosos)</v>
      </c>
      <c r="E10" s="114" t="e">
        <f>E6*0.05</f>
        <v>#REF!</v>
      </c>
      <c r="F10" s="153" t="e">
        <f>E10</f>
        <v>#REF!</v>
      </c>
      <c r="G10" t="s">
        <v>289</v>
      </c>
      <c r="I10" s="154"/>
      <c r="J10" s="114">
        <f>F24</f>
        <v>4350</v>
      </c>
      <c r="K10" s="151">
        <v>9</v>
      </c>
    </row>
    <row r="11" spans="1:31">
      <c r="I11" s="154"/>
      <c r="J11" s="114" t="e">
        <f>F26</f>
        <v>#REF!</v>
      </c>
      <c r="K11" s="151">
        <v>10</v>
      </c>
      <c r="N11" s="525" t="s">
        <v>271</v>
      </c>
      <c r="O11" s="525"/>
      <c r="S11" s="525" t="str">
        <f>'[3]Razonetes Ano1'!S11:T11</f>
        <v>Capital Social</v>
      </c>
      <c r="T11" s="525"/>
      <c r="X11" s="525" t="str">
        <f>'[3]Razonetes Ano1'!X11:Y11</f>
        <v>Clientes</v>
      </c>
      <c r="Y11" s="525"/>
      <c r="AC11" s="525" t="s">
        <v>197</v>
      </c>
      <c r="AD11" s="525"/>
    </row>
    <row r="12" spans="1:31">
      <c r="D12" s="21"/>
      <c r="E12" s="21"/>
      <c r="J12" s="157" t="e">
        <f>F28</f>
        <v>#REF!</v>
      </c>
      <c r="K12" s="151">
        <v>11</v>
      </c>
      <c r="M12">
        <v>12</v>
      </c>
      <c r="N12" s="156">
        <f>F36</f>
        <v>0</v>
      </c>
      <c r="O12" s="177" t="e">
        <f>#REF!</f>
        <v>#REF!</v>
      </c>
      <c r="S12" s="155"/>
      <c r="T12" s="177" t="e">
        <f>#REF!</f>
        <v>#REF!</v>
      </c>
      <c r="X12" s="178" t="e">
        <f>#REF!</f>
        <v>#REF!</v>
      </c>
      <c r="Y12" s="7">
        <f>I6</f>
        <v>0</v>
      </c>
      <c r="Z12" s="151">
        <v>16</v>
      </c>
      <c r="AB12">
        <v>17</v>
      </c>
      <c r="AC12" s="155">
        <f>E44</f>
        <v>0</v>
      </c>
      <c r="AD12" s="178" t="e">
        <f>#REF!</f>
        <v>#REF!</v>
      </c>
    </row>
    <row r="13" spans="1:31">
      <c r="A13">
        <v>4</v>
      </c>
      <c r="B13" s="165" t="s">
        <v>45</v>
      </c>
      <c r="C13" s="165"/>
      <c r="D13" s="21"/>
      <c r="E13" s="21"/>
      <c r="F13" s="166" t="e">
        <f>'Fluxo de Caixa 02'!P8</f>
        <v>#REF!</v>
      </c>
      <c r="G13" t="s">
        <v>289</v>
      </c>
      <c r="I13" s="162"/>
      <c r="J13" s="114">
        <f>F36</f>
        <v>0</v>
      </c>
      <c r="K13" s="151">
        <v>12</v>
      </c>
      <c r="N13" s="163"/>
      <c r="O13" s="169" t="e">
        <f>O12-N12</f>
        <v>#REF!</v>
      </c>
      <c r="S13" s="154"/>
      <c r="W13">
        <v>2</v>
      </c>
      <c r="X13" s="155" t="e">
        <f>F6</f>
        <v>#REF!</v>
      </c>
      <c r="AC13" s="154"/>
      <c r="AD13" s="7">
        <f>F18</f>
        <v>0</v>
      </c>
      <c r="AE13" s="151">
        <v>6</v>
      </c>
    </row>
    <row r="14" spans="1:31">
      <c r="B14" s="165"/>
      <c r="C14" s="165"/>
      <c r="D14" s="21"/>
      <c r="E14" s="21"/>
      <c r="I14" s="167" t="e">
        <f>I4+I6+I5-SUM(J4:J13)</f>
        <v>#REF!</v>
      </c>
      <c r="J14" s="168"/>
      <c r="N14" s="154"/>
      <c r="S14" s="154"/>
      <c r="X14" s="167" t="e">
        <f>X13+X12-Y12</f>
        <v>#REF!</v>
      </c>
      <c r="Y14" s="168"/>
      <c r="AC14" s="163"/>
      <c r="AD14" s="169" t="e">
        <f>AD13+AD12+-AC12</f>
        <v>#REF!</v>
      </c>
    </row>
    <row r="15" spans="1:31">
      <c r="B15" s="165" t="s">
        <v>46</v>
      </c>
      <c r="C15" s="165"/>
      <c r="D15" s="21"/>
      <c r="E15" s="21"/>
      <c r="F15" s="166">
        <f>SUM(F17:F19)</f>
        <v>900</v>
      </c>
      <c r="N15" s="154"/>
      <c r="S15" s="154"/>
      <c r="X15" s="154"/>
      <c r="AC15" s="154"/>
    </row>
    <row r="16" spans="1:31">
      <c r="B16" t="s">
        <v>311</v>
      </c>
      <c r="D16" s="171"/>
      <c r="E16" s="171"/>
      <c r="F16" s="170"/>
    </row>
    <row r="17" spans="1:31">
      <c r="A17">
        <v>5</v>
      </c>
      <c r="C17" t="s">
        <v>276</v>
      </c>
      <c r="D17" s="21">
        <v>0</v>
      </c>
      <c r="E17" s="21">
        <v>0</v>
      </c>
      <c r="F17" s="170">
        <f>D17+E17</f>
        <v>0</v>
      </c>
    </row>
    <row r="18" spans="1:31">
      <c r="A18">
        <v>6</v>
      </c>
      <c r="C18" t="s">
        <v>277</v>
      </c>
      <c r="D18" s="21"/>
      <c r="E18" s="21">
        <v>0</v>
      </c>
      <c r="F18" s="153">
        <f>E18</f>
        <v>0</v>
      </c>
    </row>
    <row r="19" spans="1:31">
      <c r="A19">
        <v>7</v>
      </c>
      <c r="B19" s="199" t="s">
        <v>190</v>
      </c>
      <c r="D19" s="21"/>
      <c r="E19" s="21"/>
      <c r="F19" s="21">
        <f>'Fluxo de Caixa 02'!P16</f>
        <v>900</v>
      </c>
      <c r="G19" t="s">
        <v>289</v>
      </c>
    </row>
    <row r="20" spans="1:31">
      <c r="D20" s="21"/>
      <c r="E20" s="21"/>
      <c r="I20" s="525" t="s">
        <v>279</v>
      </c>
      <c r="J20" s="525"/>
      <c r="N20" s="525" t="s">
        <v>280</v>
      </c>
      <c r="O20" s="525"/>
      <c r="S20" s="525" t="s">
        <v>281</v>
      </c>
      <c r="T20" s="525"/>
      <c r="X20" s="525" t="s">
        <v>282</v>
      </c>
      <c r="Y20" s="525"/>
      <c r="AB20" s="525" t="s">
        <v>383</v>
      </c>
      <c r="AC20" s="525"/>
      <c r="AD20" s="151"/>
      <c r="AE20"/>
    </row>
    <row r="21" spans="1:31">
      <c r="B21" s="165" t="s">
        <v>283</v>
      </c>
      <c r="D21" s="21"/>
      <c r="E21" s="21"/>
      <c r="F21" s="166">
        <f>F22</f>
        <v>0</v>
      </c>
      <c r="H21">
        <v>18</v>
      </c>
      <c r="I21" s="155" t="e">
        <f>E45</f>
        <v>#REF!</v>
      </c>
      <c r="J21" s="177" t="e">
        <f>#REF!</f>
        <v>#REF!</v>
      </c>
      <c r="N21" s="163"/>
      <c r="O21" s="177" t="e">
        <f>#REF!</f>
        <v>#REF!</v>
      </c>
      <c r="S21" s="155"/>
      <c r="T21" s="177" t="e">
        <f>#REF!</f>
        <v>#REF!</v>
      </c>
      <c r="X21" s="155"/>
      <c r="Y21" s="177" t="e">
        <f>#REF!</f>
        <v>#REF!</v>
      </c>
      <c r="AB21" s="155"/>
      <c r="AC21" s="177" t="e">
        <f>#REF!</f>
        <v>#REF!</v>
      </c>
      <c r="AD21" s="151"/>
      <c r="AE21"/>
    </row>
    <row r="22" spans="1:31">
      <c r="A22">
        <v>8</v>
      </c>
      <c r="B22" t="str">
        <f>'[3]Fluxo de Caixa 01'!A20</f>
        <v>Comissão sobre Vendas</v>
      </c>
      <c r="D22" s="21"/>
      <c r="E22" s="21"/>
      <c r="F22" s="21">
        <f>'Fluxo de Caixa 02'!P23</f>
        <v>0</v>
      </c>
      <c r="G22" t="s">
        <v>289</v>
      </c>
      <c r="I22" s="154"/>
      <c r="J22" s="7" t="e">
        <f>F10</f>
        <v>#REF!</v>
      </c>
      <c r="K22" s="151">
        <v>3</v>
      </c>
      <c r="N22" s="154"/>
      <c r="O22" s="114" t="e">
        <f>F39</f>
        <v>#REF!</v>
      </c>
      <c r="P22" s="151">
        <v>13</v>
      </c>
      <c r="S22" s="154"/>
      <c r="T22" s="114" t="e">
        <f>F40</f>
        <v>#REF!</v>
      </c>
      <c r="U22" s="151">
        <v>14</v>
      </c>
      <c r="X22" s="154"/>
      <c r="Y22" s="114" t="e">
        <f>I44</f>
        <v>#REF!</v>
      </c>
      <c r="Z22" s="151">
        <v>15</v>
      </c>
      <c r="AB22" s="154"/>
      <c r="AC22" s="114" t="e">
        <f>#REF!</f>
        <v>#REF!</v>
      </c>
      <c r="AD22" s="151">
        <v>14</v>
      </c>
      <c r="AE22"/>
    </row>
    <row r="23" spans="1:31">
      <c r="I23" s="163"/>
      <c r="J23" s="169" t="e">
        <f>J22+J21-I21</f>
        <v>#REF!</v>
      </c>
      <c r="N23" s="163"/>
      <c r="O23" s="169" t="e">
        <f>O21+O22</f>
        <v>#REF!</v>
      </c>
      <c r="S23" s="163"/>
      <c r="T23" s="169" t="e">
        <f>T22+T21</f>
        <v>#REF!</v>
      </c>
      <c r="X23" s="163"/>
      <c r="Y23" s="169" t="e">
        <f>Y22+Y21</f>
        <v>#REF!</v>
      </c>
      <c r="AB23" s="163"/>
      <c r="AC23" s="169" t="e">
        <f>AC22+AC21</f>
        <v>#REF!</v>
      </c>
      <c r="AD23" s="151"/>
      <c r="AE23"/>
    </row>
    <row r="24" spans="1:31">
      <c r="A24">
        <v>9</v>
      </c>
      <c r="B24" s="165" t="s">
        <v>285</v>
      </c>
      <c r="F24" s="166">
        <f>F25</f>
        <v>4350</v>
      </c>
      <c r="G24" t="s">
        <v>289</v>
      </c>
      <c r="I24" s="154"/>
      <c r="N24" s="154"/>
      <c r="S24" s="154"/>
      <c r="X24" s="154"/>
      <c r="AE24"/>
    </row>
    <row r="25" spans="1:31">
      <c r="B25" s="17" t="s">
        <v>306</v>
      </c>
      <c r="F25" s="7">
        <f>'Fluxo de Caixa 02'!P25</f>
        <v>4350</v>
      </c>
    </row>
    <row r="26" spans="1:31">
      <c r="A26">
        <v>10</v>
      </c>
      <c r="B26" s="165" t="s">
        <v>286</v>
      </c>
      <c r="F26" s="166" t="e">
        <f>'Fluxo de Caixa 02'!P26</f>
        <v>#REF!</v>
      </c>
      <c r="G26" t="s">
        <v>289</v>
      </c>
    </row>
    <row r="27" spans="1:31" ht="15.75" thickBot="1">
      <c r="B27" s="17" t="s">
        <v>198</v>
      </c>
      <c r="F27" s="7" t="e">
        <f>'Fluxo de Caixa 02'!P27</f>
        <v>#REF!</v>
      </c>
    </row>
    <row r="28" spans="1:31" ht="15.75" thickBot="1">
      <c r="A28" s="541">
        <v>11</v>
      </c>
      <c r="B28" s="165" t="s">
        <v>287</v>
      </c>
      <c r="F28" s="166" t="e">
        <f>'Fluxo de Caixa 02'!P28</f>
        <v>#REF!</v>
      </c>
      <c r="N28" s="542" t="s">
        <v>290</v>
      </c>
      <c r="O28" s="543"/>
      <c r="P28" s="543"/>
      <c r="Q28" s="543"/>
      <c r="R28" s="543"/>
      <c r="S28" s="543"/>
      <c r="T28" s="543"/>
      <c r="U28" s="543"/>
      <c r="V28" s="543"/>
      <c r="W28" s="543"/>
      <c r="X28" s="544"/>
    </row>
    <row r="29" spans="1:31" ht="15.75">
      <c r="A29" s="541"/>
      <c r="D29" s="21"/>
      <c r="E29" s="21"/>
      <c r="F29" s="170"/>
      <c r="I29" s="172"/>
      <c r="J29" s="172"/>
      <c r="K29" s="173"/>
      <c r="N29" s="179"/>
      <c r="X29" s="180"/>
    </row>
    <row r="30" spans="1:31" ht="15.75">
      <c r="A30" s="541"/>
      <c r="D30" s="21"/>
      <c r="E30" s="21"/>
      <c r="F30" s="170"/>
      <c r="H30" s="545" t="s">
        <v>284</v>
      </c>
      <c r="I30" s="545"/>
      <c r="J30" s="545"/>
      <c r="K30" s="545"/>
      <c r="N30" s="179"/>
      <c r="O30" t="s">
        <v>291</v>
      </c>
      <c r="P30" s="181" t="s">
        <v>292</v>
      </c>
      <c r="R30" t="s">
        <v>293</v>
      </c>
      <c r="X30" s="180"/>
    </row>
    <row r="31" spans="1:31">
      <c r="A31" s="541"/>
      <c r="D31" s="21"/>
      <c r="E31" s="21"/>
      <c r="F31" s="170"/>
      <c r="I31" s="525" t="s">
        <v>226</v>
      </c>
      <c r="J31" s="525"/>
      <c r="N31" s="179"/>
      <c r="X31" s="180"/>
    </row>
    <row r="32" spans="1:31" ht="15.75" thickBot="1">
      <c r="A32" s="541"/>
      <c r="B32" t="str">
        <f>'[3]Fluxo de Caixa 01'!A30</f>
        <v>Contador</v>
      </c>
      <c r="D32" s="21"/>
      <c r="E32" s="21"/>
      <c r="F32" s="170" t="e">
        <f>'Fluxo de Caixa 02'!P29</f>
        <v>#REF!</v>
      </c>
      <c r="H32">
        <v>3</v>
      </c>
      <c r="I32" s="155" t="e">
        <f>F8</f>
        <v>#REF!</v>
      </c>
      <c r="J32" s="114" t="e">
        <f>F5</f>
        <v>#REF!</v>
      </c>
      <c r="K32" s="151">
        <v>1</v>
      </c>
      <c r="N32" s="182"/>
      <c r="O32" s="183"/>
      <c r="P32" s="184"/>
      <c r="Q32" s="183"/>
      <c r="R32" s="183"/>
      <c r="S32" s="183"/>
      <c r="T32" s="183"/>
      <c r="U32" s="184"/>
      <c r="V32" s="183"/>
      <c r="W32" s="183"/>
      <c r="X32" s="185"/>
    </row>
    <row r="33" spans="1:11">
      <c r="A33" s="541"/>
      <c r="B33" t="str">
        <f>'[3]Fluxo de Caixa 01'!A31</f>
        <v>Material de escritório</v>
      </c>
      <c r="D33" s="21"/>
      <c r="E33" s="21"/>
      <c r="F33" s="170" t="e">
        <f>'Fluxo de Caixa 02'!P30</f>
        <v>#REF!</v>
      </c>
      <c r="H33">
        <v>4</v>
      </c>
      <c r="I33" s="164" t="e">
        <f>F13</f>
        <v>#REF!</v>
      </c>
      <c r="J33" s="7" t="e">
        <f>F6</f>
        <v>#REF!</v>
      </c>
      <c r="K33" s="151">
        <v>2</v>
      </c>
    </row>
    <row r="34" spans="1:11">
      <c r="A34" s="541"/>
      <c r="B34" t="s">
        <v>23</v>
      </c>
      <c r="D34" s="21"/>
      <c r="E34" s="21"/>
      <c r="F34" s="170">
        <f>'Fluxo de Caixa 02'!P32</f>
        <v>0</v>
      </c>
      <c r="H34">
        <v>5</v>
      </c>
      <c r="I34" s="164">
        <f>F17</f>
        <v>0</v>
      </c>
      <c r="J34" s="7" t="e">
        <f>I21</f>
        <v>#REF!</v>
      </c>
      <c r="K34" s="151">
        <v>18</v>
      </c>
    </row>
    <row r="35" spans="1:11">
      <c r="A35" s="541"/>
      <c r="D35" s="21"/>
      <c r="E35" s="21"/>
      <c r="F35" s="170"/>
      <c r="H35">
        <v>6</v>
      </c>
      <c r="I35" s="174">
        <f>F18</f>
        <v>0</v>
      </c>
    </row>
    <row r="36" spans="1:11">
      <c r="A36">
        <v>12</v>
      </c>
      <c r="B36" t="str">
        <f>'[3]Fluxo de Caixa 01'!A32</f>
        <v>Empréstimo</v>
      </c>
      <c r="D36" s="21"/>
      <c r="E36" s="21"/>
      <c r="F36" s="170">
        <f>'Fluxo de Caixa 02'!P31</f>
        <v>0</v>
      </c>
      <c r="H36">
        <v>7</v>
      </c>
      <c r="I36" s="174">
        <f>F19</f>
        <v>900</v>
      </c>
    </row>
    <row r="37" spans="1:11">
      <c r="H37">
        <v>8</v>
      </c>
      <c r="I37" s="174">
        <f>F22</f>
        <v>0</v>
      </c>
    </row>
    <row r="38" spans="1:11">
      <c r="B38" s="165" t="s">
        <v>225</v>
      </c>
      <c r="F38" s="166" t="e">
        <f>SUM(F39:F41)</f>
        <v>#REF!</v>
      </c>
      <c r="H38">
        <v>9</v>
      </c>
      <c r="I38" s="164">
        <f>F24</f>
        <v>4350</v>
      </c>
    </row>
    <row r="39" spans="1:11">
      <c r="A39">
        <v>13</v>
      </c>
      <c r="B39" t="str">
        <f>'[3]Balanço Patrimonial'!H27</f>
        <v>(Depreciação das Máquinas e Equip.)</v>
      </c>
      <c r="E39" s="114" t="e">
        <f>#REF!*0.1</f>
        <v>#REF!</v>
      </c>
      <c r="F39" s="170" t="e">
        <f t="shared" ref="F39:F40" si="0">D39+E39</f>
        <v>#REF!</v>
      </c>
      <c r="H39">
        <v>10</v>
      </c>
      <c r="I39" s="164" t="e">
        <f>F26</f>
        <v>#REF!</v>
      </c>
    </row>
    <row r="40" spans="1:11">
      <c r="A40">
        <v>14</v>
      </c>
      <c r="B40" t="str">
        <f>'[3]Balanço Patrimonial'!H28</f>
        <v>(Depreciação dos Móveis e Utens.)</v>
      </c>
      <c r="E40" s="114" t="e">
        <f>#REF!*0.1</f>
        <v>#REF!</v>
      </c>
      <c r="F40" s="170" t="e">
        <f t="shared" si="0"/>
        <v>#REF!</v>
      </c>
      <c r="H40">
        <v>11</v>
      </c>
      <c r="I40" s="164" t="e">
        <f>F28</f>
        <v>#REF!</v>
      </c>
    </row>
    <row r="41" spans="1:11">
      <c r="B41" t="s">
        <v>384</v>
      </c>
      <c r="E41" s="7">
        <v>0</v>
      </c>
      <c r="F41" s="153">
        <v>0</v>
      </c>
      <c r="H41">
        <v>13</v>
      </c>
      <c r="I41" s="164" t="e">
        <f>F39</f>
        <v>#REF!</v>
      </c>
    </row>
    <row r="42" spans="1:11">
      <c r="B42" t="s">
        <v>294</v>
      </c>
      <c r="H42">
        <v>14</v>
      </c>
      <c r="I42" s="164" t="e">
        <f>F40</f>
        <v>#REF!</v>
      </c>
    </row>
    <row r="43" spans="1:11">
      <c r="A43">
        <v>16</v>
      </c>
      <c r="B43" t="s">
        <v>237</v>
      </c>
      <c r="E43" s="21">
        <v>0</v>
      </c>
      <c r="I43" s="162"/>
    </row>
    <row r="44" spans="1:11">
      <c r="A44">
        <v>17</v>
      </c>
      <c r="B44" t="s">
        <v>295</v>
      </c>
      <c r="E44" s="21">
        <f>'Fluxo de Caixa 02'!C17</f>
        <v>0</v>
      </c>
      <c r="H44">
        <v>15</v>
      </c>
      <c r="I44" s="156" t="e">
        <f>J44</f>
        <v>#REF!</v>
      </c>
      <c r="J44" s="169" t="e">
        <f>J32+J34+J33-SUM(I32:I42)</f>
        <v>#REF!</v>
      </c>
    </row>
    <row r="45" spans="1:11">
      <c r="A45">
        <v>18</v>
      </c>
      <c r="B45" t="s">
        <v>279</v>
      </c>
      <c r="E45" s="7" t="e">
        <f>J21</f>
        <v>#REF!</v>
      </c>
    </row>
  </sheetData>
  <mergeCells count="20">
    <mergeCell ref="H1:K1"/>
    <mergeCell ref="B2:F2"/>
    <mergeCell ref="I3:J3"/>
    <mergeCell ref="N3:O3"/>
    <mergeCell ref="S3:T3"/>
    <mergeCell ref="A28:A35"/>
    <mergeCell ref="N28:X28"/>
    <mergeCell ref="H30:K30"/>
    <mergeCell ref="I31:J31"/>
    <mergeCell ref="AC3:AD3"/>
    <mergeCell ref="N11:O11"/>
    <mergeCell ref="S11:T11"/>
    <mergeCell ref="X11:Y11"/>
    <mergeCell ref="AC11:AD11"/>
    <mergeCell ref="I20:J20"/>
    <mergeCell ref="N20:O20"/>
    <mergeCell ref="S20:T20"/>
    <mergeCell ref="X20:Y20"/>
    <mergeCell ref="X3:Y3"/>
    <mergeCell ref="AB20:AC20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9">
    <tabColor rgb="FF00B050"/>
  </sheetPr>
  <dimension ref="A1:M121"/>
  <sheetViews>
    <sheetView showGridLines="0" topLeftCell="G1" workbookViewId="0">
      <selection activeCell="B4" sqref="B4:F40"/>
    </sheetView>
  </sheetViews>
  <sheetFormatPr defaultColWidth="9.140625" defaultRowHeight="14.25"/>
  <cols>
    <col min="1" max="1" width="9.140625" style="186"/>
    <col min="2" max="2" width="13.5703125" style="186" bestFit="1" customWidth="1"/>
    <col min="3" max="3" width="16.28515625" style="384" bestFit="1" customWidth="1"/>
    <col min="4" max="4" width="25.42578125" style="384" customWidth="1"/>
    <col min="5" max="6" width="25.42578125" style="186" customWidth="1"/>
    <col min="7" max="7" width="15.42578125" style="186" bestFit="1" customWidth="1"/>
    <col min="8" max="8" width="17" style="186" bestFit="1" customWidth="1"/>
    <col min="9" max="9" width="18.5703125" style="186" bestFit="1" customWidth="1"/>
    <col min="10" max="10" width="19.5703125" style="186" customWidth="1"/>
    <col min="11" max="11" width="19.85546875" style="186" customWidth="1"/>
    <col min="12" max="12" width="19" style="186" customWidth="1"/>
    <col min="13" max="14" width="18" style="186" bestFit="1" customWidth="1"/>
    <col min="15" max="16384" width="9.140625" style="186"/>
  </cols>
  <sheetData>
    <row r="1" spans="1:13" ht="15">
      <c r="I1" s="2" t="s">
        <v>15</v>
      </c>
      <c r="J1" s="546" t="s">
        <v>16</v>
      </c>
      <c r="K1" s="546"/>
    </row>
    <row r="2" spans="1:13" ht="15">
      <c r="I2" s="3">
        <v>4.4999999999999998E-2</v>
      </c>
      <c r="J2" s="547">
        <v>7.0000000000000007E-2</v>
      </c>
      <c r="K2" s="547"/>
    </row>
    <row r="3" spans="1:13" ht="15">
      <c r="B3" s="394"/>
      <c r="C3" s="395"/>
      <c r="D3" s="395"/>
      <c r="E3" s="368"/>
      <c r="F3" s="368"/>
      <c r="H3" s="558" t="s">
        <v>296</v>
      </c>
      <c r="I3" s="559"/>
      <c r="J3" s="559"/>
      <c r="K3" s="559"/>
      <c r="L3" s="413"/>
      <c r="M3" s="414"/>
    </row>
    <row r="4" spans="1:13" ht="15">
      <c r="B4" s="419" t="s">
        <v>0</v>
      </c>
      <c r="C4" s="419" t="s">
        <v>449</v>
      </c>
      <c r="D4" s="419" t="s">
        <v>450</v>
      </c>
      <c r="E4" s="419" t="s">
        <v>282</v>
      </c>
      <c r="F4" s="419" t="s">
        <v>451</v>
      </c>
      <c r="H4" s="560"/>
      <c r="I4" s="561"/>
      <c r="J4" s="561"/>
      <c r="K4" s="561"/>
      <c r="L4" s="417"/>
      <c r="M4" s="418"/>
    </row>
    <row r="5" spans="1:13">
      <c r="B5" s="244">
        <v>44197</v>
      </c>
      <c r="C5" s="385" t="e">
        <f>faturamento!#REF!</f>
        <v>#REF!</v>
      </c>
      <c r="D5" s="386" t="e">
        <f>faturamento!#REF!</f>
        <v>#REF!</v>
      </c>
      <c r="E5" s="245" t="e">
        <f>C5-D5</f>
        <v>#REF!</v>
      </c>
      <c r="F5" s="245" t="e">
        <f>E5</f>
        <v>#REF!</v>
      </c>
      <c r="H5" s="123" t="s">
        <v>297</v>
      </c>
      <c r="I5" s="123" t="s">
        <v>298</v>
      </c>
      <c r="J5" s="123" t="s">
        <v>299</v>
      </c>
      <c r="K5" s="123" t="s">
        <v>300</v>
      </c>
      <c r="L5" s="123" t="s">
        <v>301</v>
      </c>
      <c r="M5" s="123" t="s">
        <v>302</v>
      </c>
    </row>
    <row r="6" spans="1:13">
      <c r="A6" s="188"/>
      <c r="B6" s="244">
        <v>44228</v>
      </c>
      <c r="C6" s="385" t="e">
        <f>faturamento!#REF!</f>
        <v>#REF!</v>
      </c>
      <c r="D6" s="386" t="e">
        <f>faturamento!#REF!</f>
        <v>#REF!</v>
      </c>
      <c r="E6" s="245" t="e">
        <f t="shared" ref="E6:E40" si="0">C6-D6</f>
        <v>#REF!</v>
      </c>
      <c r="F6" s="189" t="e">
        <f t="shared" ref="F6:F40" si="1">F5+E6</f>
        <v>#REF!</v>
      </c>
      <c r="H6" s="189">
        <f>'Investimento Inicial'!H29</f>
        <v>0</v>
      </c>
      <c r="I6" s="190">
        <f>'Fluxo de Caixa 01'!N18</f>
        <v>0</v>
      </c>
      <c r="J6" s="190" t="e">
        <f>'Fluxo de Caixa 02'!N33</f>
        <v>#REF!</v>
      </c>
      <c r="K6" s="190" t="e">
        <f>'Fluxo de caixa 03'!P33</f>
        <v>#REF!</v>
      </c>
      <c r="L6" s="190">
        <v>0</v>
      </c>
      <c r="M6" s="190">
        <v>0</v>
      </c>
    </row>
    <row r="7" spans="1:13" ht="14.45" customHeight="1">
      <c r="A7" s="188"/>
      <c r="B7" s="244">
        <v>44256</v>
      </c>
      <c r="C7" s="385" t="e">
        <f>faturamento!#REF!</f>
        <v>#REF!</v>
      </c>
      <c r="D7" s="386" t="e">
        <f>faturamento!#REF!</f>
        <v>#REF!</v>
      </c>
      <c r="E7" s="245" t="e">
        <f t="shared" si="0"/>
        <v>#REF!</v>
      </c>
      <c r="F7" s="189" t="e">
        <f t="shared" si="1"/>
        <v>#REF!</v>
      </c>
      <c r="H7" s="568" t="s">
        <v>303</v>
      </c>
      <c r="I7" s="562" t="e">
        <f>NPV(J2,I6,J6,K6,L6,M6)-H6</f>
        <v>#REF!</v>
      </c>
      <c r="J7" s="563"/>
      <c r="K7" s="564"/>
      <c r="L7" s="123"/>
      <c r="M7" s="123"/>
    </row>
    <row r="8" spans="1:13">
      <c r="A8" s="188"/>
      <c r="B8" s="244">
        <v>44287</v>
      </c>
      <c r="C8" s="385" t="e">
        <f>faturamento!#REF!</f>
        <v>#REF!</v>
      </c>
      <c r="D8" s="386" t="e">
        <f>faturamento!#REF!</f>
        <v>#REF!</v>
      </c>
      <c r="E8" s="245" t="e">
        <f t="shared" si="0"/>
        <v>#REF!</v>
      </c>
      <c r="F8" s="189" t="e">
        <f t="shared" si="1"/>
        <v>#REF!</v>
      </c>
      <c r="H8" s="569"/>
      <c r="I8" s="565"/>
      <c r="J8" s="566"/>
      <c r="K8" s="567"/>
      <c r="L8" s="123"/>
      <c r="M8" s="123"/>
    </row>
    <row r="9" spans="1:13">
      <c r="A9" s="188"/>
      <c r="B9" s="244">
        <v>44317</v>
      </c>
      <c r="C9" s="385" t="e">
        <f>faturamento!#REF!</f>
        <v>#REF!</v>
      </c>
      <c r="D9" s="386" t="e">
        <f>faturamento!#REF!</f>
        <v>#REF!</v>
      </c>
      <c r="E9" s="245" t="e">
        <f t="shared" si="0"/>
        <v>#REF!</v>
      </c>
      <c r="F9" s="189" t="e">
        <f t="shared" si="1"/>
        <v>#REF!</v>
      </c>
    </row>
    <row r="10" spans="1:13" ht="15">
      <c r="A10" s="188"/>
      <c r="B10" s="244">
        <v>44348</v>
      </c>
      <c r="C10" s="385" t="e">
        <f>faturamento!#REF!</f>
        <v>#REF!</v>
      </c>
      <c r="D10" s="386" t="e">
        <f>faturamento!#REF!</f>
        <v>#REF!</v>
      </c>
      <c r="E10" s="245" t="e">
        <f t="shared" si="0"/>
        <v>#REF!</v>
      </c>
      <c r="F10" s="189" t="e">
        <f t="shared" si="1"/>
        <v>#REF!</v>
      </c>
      <c r="H10" s="549" t="s">
        <v>304</v>
      </c>
      <c r="I10" s="549"/>
      <c r="J10" s="549"/>
      <c r="K10" s="549"/>
      <c r="L10" s="413"/>
      <c r="M10" s="414"/>
    </row>
    <row r="11" spans="1:13" ht="15">
      <c r="A11" s="188"/>
      <c r="B11" s="244">
        <v>44378</v>
      </c>
      <c r="C11" s="385" t="e">
        <f>faturamento!#REF!</f>
        <v>#REF!</v>
      </c>
      <c r="D11" s="386" t="e">
        <f>faturamento!#REF!</f>
        <v>#REF!</v>
      </c>
      <c r="E11" s="245" t="e">
        <f t="shared" si="0"/>
        <v>#REF!</v>
      </c>
      <c r="F11" s="189" t="e">
        <f t="shared" si="1"/>
        <v>#REF!</v>
      </c>
      <c r="H11" s="549"/>
      <c r="I11" s="549"/>
      <c r="J11" s="549"/>
      <c r="K11" s="549"/>
      <c r="L11" s="415"/>
      <c r="M11" s="416"/>
    </row>
    <row r="12" spans="1:13">
      <c r="A12" s="188"/>
      <c r="B12" s="244">
        <v>44409</v>
      </c>
      <c r="C12" s="385" t="e">
        <f>faturamento!#REF!</f>
        <v>#REF!</v>
      </c>
      <c r="D12" s="386" t="e">
        <f>faturamento!#REF!</f>
        <v>#REF!</v>
      </c>
      <c r="E12" s="245" t="e">
        <f t="shared" si="0"/>
        <v>#REF!</v>
      </c>
      <c r="F12" s="189" t="e">
        <f t="shared" si="1"/>
        <v>#REF!</v>
      </c>
      <c r="H12" s="123" t="s">
        <v>297</v>
      </c>
      <c r="I12" s="123" t="s">
        <v>298</v>
      </c>
      <c r="J12" s="123" t="s">
        <v>299</v>
      </c>
      <c r="K12" s="123" t="s">
        <v>300</v>
      </c>
      <c r="L12" s="186" t="s">
        <v>301</v>
      </c>
      <c r="M12" s="191" t="s">
        <v>302</v>
      </c>
    </row>
    <row r="13" spans="1:13">
      <c r="A13" s="188"/>
      <c r="B13" s="244">
        <v>44440</v>
      </c>
      <c r="C13" s="385" t="e">
        <f>faturamento!#REF!</f>
        <v>#REF!</v>
      </c>
      <c r="D13" s="386" t="e">
        <f>faturamento!#REF!</f>
        <v>#REF!</v>
      </c>
      <c r="E13" s="245" t="e">
        <f t="shared" si="0"/>
        <v>#REF!</v>
      </c>
      <c r="F13" s="189" t="e">
        <f t="shared" si="1"/>
        <v>#REF!</v>
      </c>
      <c r="H13" s="189">
        <f>H6*-1</f>
        <v>0</v>
      </c>
      <c r="I13" s="190">
        <f>'Fluxo de Caixa 01'!N18</f>
        <v>0</v>
      </c>
      <c r="J13" s="190" t="e">
        <f>'Fluxo de Caixa 02'!N33</f>
        <v>#REF!</v>
      </c>
      <c r="K13" s="190" t="e">
        <f>K6</f>
        <v>#REF!</v>
      </c>
      <c r="L13" s="187">
        <v>0</v>
      </c>
      <c r="M13" s="192">
        <v>0</v>
      </c>
    </row>
    <row r="14" spans="1:13" ht="14.45" customHeight="1">
      <c r="A14" s="188"/>
      <c r="B14" s="244">
        <v>44470</v>
      </c>
      <c r="C14" s="385" t="e">
        <f>faturamento!#REF!</f>
        <v>#REF!</v>
      </c>
      <c r="D14" s="386" t="e">
        <f>faturamento!#REF!</f>
        <v>#REF!</v>
      </c>
      <c r="E14" s="245" t="e">
        <f t="shared" si="0"/>
        <v>#REF!</v>
      </c>
      <c r="F14" s="189" t="e">
        <f t="shared" si="1"/>
        <v>#REF!</v>
      </c>
      <c r="H14" s="550" t="s">
        <v>305</v>
      </c>
      <c r="I14" s="552" t="e">
        <f>IRR(H13:M13)</f>
        <v>#VALUE!</v>
      </c>
      <c r="J14" s="553"/>
      <c r="K14" s="554"/>
      <c r="M14" s="191"/>
    </row>
    <row r="15" spans="1:13">
      <c r="A15" s="188"/>
      <c r="B15" s="420">
        <v>44501</v>
      </c>
      <c r="C15" s="421" t="e">
        <f>faturamento!#REF!</f>
        <v>#REF!</v>
      </c>
      <c r="D15" s="422" t="e">
        <f>faturamento!#REF!</f>
        <v>#REF!</v>
      </c>
      <c r="E15" s="423" t="e">
        <f t="shared" si="0"/>
        <v>#REF!</v>
      </c>
      <c r="F15" s="424" t="e">
        <f t="shared" si="1"/>
        <v>#REF!</v>
      </c>
      <c r="H15" s="551"/>
      <c r="I15" s="555"/>
      <c r="J15" s="556"/>
      <c r="K15" s="557"/>
      <c r="L15" s="193"/>
      <c r="M15" s="194"/>
    </row>
    <row r="16" spans="1:13">
      <c r="A16" s="188"/>
      <c r="B16" s="244">
        <v>44531</v>
      </c>
      <c r="C16" s="385" t="e">
        <f>faturamento!#REF!</f>
        <v>#REF!</v>
      </c>
      <c r="D16" s="386" t="e">
        <f>faturamento!#REF!</f>
        <v>#REF!</v>
      </c>
      <c r="E16" s="245" t="e">
        <f t="shared" si="0"/>
        <v>#REF!</v>
      </c>
      <c r="F16" s="189" t="e">
        <f t="shared" si="1"/>
        <v>#REF!</v>
      </c>
    </row>
    <row r="17" spans="1:13">
      <c r="A17" s="188"/>
      <c r="B17" s="244">
        <v>44562</v>
      </c>
      <c r="C17" s="385" t="e">
        <f>faturamento!#REF!</f>
        <v>#REF!</v>
      </c>
      <c r="D17" s="387" t="e">
        <f>faturamento!#REF!</f>
        <v>#REF!</v>
      </c>
      <c r="E17" s="245" t="e">
        <f t="shared" si="0"/>
        <v>#REF!</v>
      </c>
      <c r="F17" s="189" t="e">
        <f t="shared" si="1"/>
        <v>#REF!</v>
      </c>
      <c r="H17" s="195">
        <v>0</v>
      </c>
      <c r="I17" s="195">
        <v>1</v>
      </c>
      <c r="J17" s="195">
        <v>2</v>
      </c>
      <c r="K17" s="195">
        <v>3</v>
      </c>
      <c r="L17" s="195">
        <v>4</v>
      </c>
      <c r="M17" s="195">
        <v>5</v>
      </c>
    </row>
    <row r="18" spans="1:13">
      <c r="A18" s="188"/>
      <c r="B18" s="244">
        <v>44593</v>
      </c>
      <c r="C18" s="385" t="e">
        <f>faturamento!#REF!</f>
        <v>#REF!</v>
      </c>
      <c r="D18" s="387" t="e">
        <f>faturamento!#REF!</f>
        <v>#REF!</v>
      </c>
      <c r="E18" s="245" t="e">
        <f t="shared" si="0"/>
        <v>#REF!</v>
      </c>
      <c r="F18" s="189" t="e">
        <f t="shared" si="1"/>
        <v>#REF!</v>
      </c>
      <c r="H18" s="196">
        <v>0</v>
      </c>
      <c r="I18" s="189">
        <f>H13</f>
        <v>0</v>
      </c>
      <c r="J18" s="189">
        <f>H13+I13</f>
        <v>0</v>
      </c>
      <c r="K18" s="189" t="e">
        <f>I13+J13</f>
        <v>#REF!</v>
      </c>
      <c r="L18" s="189" t="e">
        <f>K18+K13</f>
        <v>#REF!</v>
      </c>
      <c r="M18" s="189" t="e">
        <f>L18+L13</f>
        <v>#REF!</v>
      </c>
    </row>
    <row r="19" spans="1:13">
      <c r="A19" s="188"/>
      <c r="B19" s="244">
        <v>44621</v>
      </c>
      <c r="C19" s="385" t="e">
        <f>faturamento!#REF!</f>
        <v>#REF!</v>
      </c>
      <c r="D19" s="387" t="e">
        <f>faturamento!#REF!</f>
        <v>#REF!</v>
      </c>
      <c r="E19" s="245" t="e">
        <f t="shared" si="0"/>
        <v>#REF!</v>
      </c>
      <c r="F19" s="189" t="e">
        <f t="shared" si="1"/>
        <v>#REF!</v>
      </c>
    </row>
    <row r="20" spans="1:13" ht="15">
      <c r="A20" s="188"/>
      <c r="B20" s="244">
        <v>44652</v>
      </c>
      <c r="C20" s="385" t="e">
        <f>faturamento!#REF!</f>
        <v>#REF!</v>
      </c>
      <c r="D20" s="387" t="e">
        <f>faturamento!#REF!</f>
        <v>#REF!</v>
      </c>
      <c r="E20" s="245" t="e">
        <f t="shared" si="0"/>
        <v>#REF!</v>
      </c>
      <c r="F20" s="189" t="e">
        <f t="shared" si="1"/>
        <v>#REF!</v>
      </c>
      <c r="H20" s="197"/>
      <c r="I20" s="197"/>
      <c r="J20" s="197"/>
      <c r="K20" s="197"/>
      <c r="L20" s="197"/>
      <c r="M20" s="197"/>
    </row>
    <row r="21" spans="1:13" s="197" customFormat="1" ht="15">
      <c r="A21" s="198"/>
      <c r="B21" s="244">
        <v>44682</v>
      </c>
      <c r="C21" s="385" t="e">
        <f>faturamento!#REF!</f>
        <v>#REF!</v>
      </c>
      <c r="D21" s="387" t="e">
        <f>faturamento!#REF!</f>
        <v>#REF!</v>
      </c>
      <c r="E21" s="245" t="e">
        <f t="shared" si="0"/>
        <v>#REF!</v>
      </c>
      <c r="F21" s="189" t="e">
        <f t="shared" si="1"/>
        <v>#REF!</v>
      </c>
      <c r="H21" s="186"/>
      <c r="I21" s="186"/>
      <c r="J21" s="186"/>
      <c r="K21" s="186"/>
      <c r="L21" s="186"/>
      <c r="M21" s="186"/>
    </row>
    <row r="22" spans="1:13">
      <c r="A22" s="188"/>
      <c r="B22" s="244">
        <v>44713</v>
      </c>
      <c r="C22" s="385" t="e">
        <f>faturamento!#REF!</f>
        <v>#REF!</v>
      </c>
      <c r="D22" s="387" t="e">
        <f>faturamento!#REF!</f>
        <v>#REF!</v>
      </c>
      <c r="E22" s="245" t="e">
        <f t="shared" si="0"/>
        <v>#REF!</v>
      </c>
      <c r="F22" s="189" t="e">
        <f t="shared" si="1"/>
        <v>#REF!</v>
      </c>
    </row>
    <row r="23" spans="1:13">
      <c r="A23" s="188"/>
      <c r="B23" s="244">
        <v>44743</v>
      </c>
      <c r="C23" s="385" t="e">
        <f>faturamento!#REF!</f>
        <v>#REF!</v>
      </c>
      <c r="D23" s="387" t="e">
        <f>faturamento!#REF!</f>
        <v>#REF!</v>
      </c>
      <c r="E23" s="245" t="e">
        <f t="shared" si="0"/>
        <v>#REF!</v>
      </c>
      <c r="F23" s="189" t="e">
        <f t="shared" si="1"/>
        <v>#REF!</v>
      </c>
    </row>
    <row r="24" spans="1:13">
      <c r="A24" s="188"/>
      <c r="B24" s="244">
        <v>44774</v>
      </c>
      <c r="C24" s="385" t="e">
        <f>faturamento!#REF!</f>
        <v>#REF!</v>
      </c>
      <c r="D24" s="387" t="e">
        <f>faturamento!#REF!</f>
        <v>#REF!</v>
      </c>
      <c r="E24" s="245" t="e">
        <f t="shared" si="0"/>
        <v>#REF!</v>
      </c>
      <c r="F24" s="189" t="e">
        <f t="shared" si="1"/>
        <v>#REF!</v>
      </c>
    </row>
    <row r="25" spans="1:13">
      <c r="A25" s="188"/>
      <c r="B25" s="244">
        <v>44805</v>
      </c>
      <c r="C25" s="385" t="e">
        <f>faturamento!#REF!</f>
        <v>#REF!</v>
      </c>
      <c r="D25" s="387" t="e">
        <f>faturamento!#REF!</f>
        <v>#REF!</v>
      </c>
      <c r="E25" s="245" t="e">
        <f t="shared" si="0"/>
        <v>#REF!</v>
      </c>
      <c r="F25" s="189" t="e">
        <f t="shared" si="1"/>
        <v>#REF!</v>
      </c>
    </row>
    <row r="26" spans="1:13">
      <c r="A26" s="188"/>
      <c r="B26" s="244">
        <v>44835</v>
      </c>
      <c r="C26" s="385" t="e">
        <f>faturamento!#REF!</f>
        <v>#REF!</v>
      </c>
      <c r="D26" s="387" t="e">
        <f>faturamento!#REF!</f>
        <v>#REF!</v>
      </c>
      <c r="E26" s="245" t="e">
        <f t="shared" si="0"/>
        <v>#REF!</v>
      </c>
      <c r="F26" s="189" t="e">
        <f t="shared" si="1"/>
        <v>#REF!</v>
      </c>
    </row>
    <row r="27" spans="1:13">
      <c r="A27" s="188"/>
      <c r="B27" s="244">
        <v>44866</v>
      </c>
      <c r="C27" s="385" t="e">
        <f>faturamento!#REF!</f>
        <v>#REF!</v>
      </c>
      <c r="D27" s="387" t="e">
        <f>faturamento!#REF!</f>
        <v>#REF!</v>
      </c>
      <c r="E27" s="245" t="e">
        <f t="shared" si="0"/>
        <v>#REF!</v>
      </c>
      <c r="F27" s="189" t="e">
        <f t="shared" si="1"/>
        <v>#REF!</v>
      </c>
    </row>
    <row r="28" spans="1:13">
      <c r="A28" s="188"/>
      <c r="B28" s="244">
        <v>44896</v>
      </c>
      <c r="C28" s="385" t="e">
        <f>faturamento!#REF!</f>
        <v>#REF!</v>
      </c>
      <c r="D28" s="387" t="e">
        <f>faturamento!#REF!</f>
        <v>#REF!</v>
      </c>
      <c r="E28" s="245" t="e">
        <f t="shared" si="0"/>
        <v>#REF!</v>
      </c>
      <c r="F28" s="189" t="e">
        <f t="shared" si="1"/>
        <v>#REF!</v>
      </c>
    </row>
    <row r="29" spans="1:13">
      <c r="B29" s="244">
        <v>44927</v>
      </c>
      <c r="C29" s="385" t="e">
        <f>faturamento!#REF!</f>
        <v>#REF!</v>
      </c>
      <c r="D29" s="387" t="e">
        <f>faturamento!#REF!</f>
        <v>#REF!</v>
      </c>
      <c r="E29" s="245" t="e">
        <f t="shared" si="0"/>
        <v>#REF!</v>
      </c>
      <c r="F29" s="189" t="e">
        <f t="shared" si="1"/>
        <v>#REF!</v>
      </c>
    </row>
    <row r="30" spans="1:13">
      <c r="B30" s="244">
        <v>44958</v>
      </c>
      <c r="C30" s="385" t="e">
        <f>faturamento!#REF!</f>
        <v>#REF!</v>
      </c>
      <c r="D30" s="387" t="e">
        <f>faturamento!#REF!</f>
        <v>#REF!</v>
      </c>
      <c r="E30" s="245" t="e">
        <f t="shared" si="0"/>
        <v>#REF!</v>
      </c>
      <c r="F30" s="189" t="e">
        <f t="shared" si="1"/>
        <v>#REF!</v>
      </c>
    </row>
    <row r="31" spans="1:13">
      <c r="B31" s="244">
        <v>44986</v>
      </c>
      <c r="C31" s="385" t="e">
        <f>faturamento!#REF!</f>
        <v>#REF!</v>
      </c>
      <c r="D31" s="387" t="e">
        <f>faturamento!#REF!</f>
        <v>#REF!</v>
      </c>
      <c r="E31" s="245" t="e">
        <f t="shared" si="0"/>
        <v>#REF!</v>
      </c>
      <c r="F31" s="189" t="e">
        <f t="shared" si="1"/>
        <v>#REF!</v>
      </c>
    </row>
    <row r="32" spans="1:13">
      <c r="B32" s="244">
        <v>45017</v>
      </c>
      <c r="C32" s="385" t="e">
        <f>faturamento!#REF!</f>
        <v>#REF!</v>
      </c>
      <c r="D32" s="387" t="e">
        <f>faturamento!#REF!</f>
        <v>#REF!</v>
      </c>
      <c r="E32" s="245" t="e">
        <f t="shared" si="0"/>
        <v>#REF!</v>
      </c>
      <c r="F32" s="189" t="e">
        <f t="shared" si="1"/>
        <v>#REF!</v>
      </c>
    </row>
    <row r="33" spans="2:6">
      <c r="B33" s="244">
        <v>45047</v>
      </c>
      <c r="C33" s="385" t="e">
        <f>faturamento!#REF!</f>
        <v>#REF!</v>
      </c>
      <c r="D33" s="387" t="e">
        <f>faturamento!#REF!</f>
        <v>#REF!</v>
      </c>
      <c r="E33" s="245" t="e">
        <f t="shared" si="0"/>
        <v>#REF!</v>
      </c>
      <c r="F33" s="189" t="e">
        <f t="shared" si="1"/>
        <v>#REF!</v>
      </c>
    </row>
    <row r="34" spans="2:6">
      <c r="B34" s="244">
        <v>45078</v>
      </c>
      <c r="C34" s="385" t="e">
        <f>faturamento!#REF!</f>
        <v>#REF!</v>
      </c>
      <c r="D34" s="387" t="e">
        <f>faturamento!#REF!</f>
        <v>#REF!</v>
      </c>
      <c r="E34" s="245" t="e">
        <f t="shared" si="0"/>
        <v>#REF!</v>
      </c>
      <c r="F34" s="189" t="e">
        <f t="shared" si="1"/>
        <v>#REF!</v>
      </c>
    </row>
    <row r="35" spans="2:6">
      <c r="B35" s="244">
        <v>45108</v>
      </c>
      <c r="C35" s="385" t="e">
        <f>faturamento!#REF!</f>
        <v>#REF!</v>
      </c>
      <c r="D35" s="387" t="e">
        <f>faturamento!#REF!</f>
        <v>#REF!</v>
      </c>
      <c r="E35" s="245" t="e">
        <f t="shared" si="0"/>
        <v>#REF!</v>
      </c>
      <c r="F35" s="189" t="e">
        <f t="shared" si="1"/>
        <v>#REF!</v>
      </c>
    </row>
    <row r="36" spans="2:6">
      <c r="B36" s="244">
        <v>45139</v>
      </c>
      <c r="C36" s="385" t="e">
        <f>faturamento!#REF!</f>
        <v>#REF!</v>
      </c>
      <c r="D36" s="387" t="e">
        <f>faturamento!#REF!</f>
        <v>#REF!</v>
      </c>
      <c r="E36" s="245" t="e">
        <f t="shared" si="0"/>
        <v>#REF!</v>
      </c>
      <c r="F36" s="189" t="e">
        <f t="shared" si="1"/>
        <v>#REF!</v>
      </c>
    </row>
    <row r="37" spans="2:6">
      <c r="B37" s="244">
        <v>45170</v>
      </c>
      <c r="C37" s="385" t="e">
        <f>faturamento!#REF!</f>
        <v>#REF!</v>
      </c>
      <c r="D37" s="387" t="e">
        <f>faturamento!#REF!</f>
        <v>#REF!</v>
      </c>
      <c r="E37" s="245" t="e">
        <f t="shared" si="0"/>
        <v>#REF!</v>
      </c>
      <c r="F37" s="189" t="e">
        <f t="shared" si="1"/>
        <v>#REF!</v>
      </c>
    </row>
    <row r="38" spans="2:6">
      <c r="B38" s="244">
        <v>45200</v>
      </c>
      <c r="C38" s="385" t="e">
        <f>faturamento!#REF!</f>
        <v>#REF!</v>
      </c>
      <c r="D38" s="387" t="e">
        <f>faturamento!#REF!</f>
        <v>#REF!</v>
      </c>
      <c r="E38" s="245" t="e">
        <f t="shared" si="0"/>
        <v>#REF!</v>
      </c>
      <c r="F38" s="189" t="e">
        <f t="shared" si="1"/>
        <v>#REF!</v>
      </c>
    </row>
    <row r="39" spans="2:6">
      <c r="B39" s="244">
        <v>45231</v>
      </c>
      <c r="C39" s="385" t="e">
        <f>faturamento!#REF!</f>
        <v>#REF!</v>
      </c>
      <c r="D39" s="387" t="e">
        <f>faturamento!#REF!</f>
        <v>#REF!</v>
      </c>
      <c r="E39" s="245" t="e">
        <f t="shared" si="0"/>
        <v>#REF!</v>
      </c>
      <c r="F39" s="189" t="e">
        <f t="shared" si="1"/>
        <v>#REF!</v>
      </c>
    </row>
    <row r="40" spans="2:6">
      <c r="B40" s="244">
        <v>45261</v>
      </c>
      <c r="C40" s="385" t="e">
        <f>faturamento!#REF!</f>
        <v>#REF!</v>
      </c>
      <c r="D40" s="387" t="e">
        <f>faturamento!#REF!</f>
        <v>#REF!</v>
      </c>
      <c r="E40" s="245" t="e">
        <f t="shared" si="0"/>
        <v>#REF!</v>
      </c>
      <c r="F40" s="189" t="e">
        <f t="shared" si="1"/>
        <v>#REF!</v>
      </c>
    </row>
    <row r="70" spans="2:12" ht="15">
      <c r="B70" s="548"/>
      <c r="C70" s="548"/>
      <c r="D70" s="548"/>
      <c r="E70" s="548"/>
      <c r="F70" s="548"/>
      <c r="G70" s="548"/>
      <c r="H70"/>
      <c r="I70" s="548"/>
      <c r="J70" s="548"/>
      <c r="K70" s="548"/>
      <c r="L70" s="548"/>
    </row>
    <row r="71" spans="2:12" ht="15">
      <c r="B71" s="23"/>
      <c r="C71" s="8"/>
      <c r="D71" s="8"/>
      <c r="E71" s="23"/>
      <c r="F71" s="23"/>
      <c r="G71" s="23"/>
      <c r="H71"/>
      <c r="I71" s="23"/>
      <c r="J71" s="23"/>
      <c r="K71" s="23"/>
      <c r="L71" s="23"/>
    </row>
    <row r="72" spans="2:12" ht="15">
      <c r="B72" s="23"/>
      <c r="C72" s="388"/>
      <c r="D72" s="388"/>
      <c r="E72" s="24"/>
      <c r="F72" s="24"/>
      <c r="G72" s="229"/>
      <c r="H72"/>
      <c r="I72" s="23"/>
      <c r="J72" s="24"/>
      <c r="K72" s="218"/>
      <c r="L72" s="230"/>
    </row>
    <row r="73" spans="2:12" ht="15">
      <c r="B73" s="23"/>
      <c r="C73" s="388"/>
      <c r="D73" s="388"/>
      <c r="E73" s="24"/>
      <c r="F73" s="24"/>
      <c r="G73" s="229"/>
      <c r="H73"/>
      <c r="I73" s="23"/>
      <c r="J73" s="24"/>
      <c r="K73" s="218"/>
      <c r="L73" s="230"/>
    </row>
    <row r="74" spans="2:12" ht="15">
      <c r="B74" s="231"/>
      <c r="C74" s="389"/>
      <c r="D74" s="389"/>
      <c r="E74" s="232"/>
      <c r="F74" s="232"/>
      <c r="G74" s="233"/>
      <c r="H74"/>
      <c r="I74" s="234"/>
      <c r="J74" s="235"/>
      <c r="K74" s="236"/>
      <c r="L74" s="237"/>
    </row>
    <row r="75" spans="2:12" ht="15">
      <c r="B75" s="219"/>
      <c r="C75" s="390"/>
      <c r="D75" s="390"/>
      <c r="E75" s="223"/>
      <c r="F75" s="223"/>
      <c r="G75" s="238"/>
      <c r="H75"/>
      <c r="I75" s="234"/>
      <c r="J75" s="235"/>
      <c r="K75" s="236"/>
      <c r="L75" s="237"/>
    </row>
    <row r="76" spans="2:12" ht="15">
      <c r="B76" s="221"/>
      <c r="C76" s="367"/>
      <c r="D76" s="367"/>
      <c r="E76" s="221"/>
      <c r="F76" s="221"/>
      <c r="G76" s="221"/>
      <c r="H76"/>
      <c r="I76" s="221"/>
      <c r="J76" s="221"/>
      <c r="K76" s="221"/>
      <c r="L76" s="221"/>
    </row>
    <row r="77" spans="2:12" ht="15">
      <c r="B77" s="221"/>
      <c r="C77" s="367"/>
      <c r="D77" s="367"/>
      <c r="E77" s="221"/>
      <c r="F77" s="221"/>
      <c r="G77" s="221"/>
      <c r="H77"/>
      <c r="I77" s="221"/>
      <c r="J77" s="221"/>
      <c r="K77" s="221"/>
      <c r="L77" s="221"/>
    </row>
    <row r="78" spans="2:12" ht="15">
      <c r="B78" s="239"/>
      <c r="C78" s="391"/>
      <c r="D78" s="391"/>
      <c r="E78" s="239"/>
      <c r="F78" s="239"/>
      <c r="G78" s="240"/>
      <c r="H78"/>
      <c r="I78" s="239"/>
      <c r="J78" s="239"/>
      <c r="K78" s="239"/>
      <c r="L78" s="239"/>
    </row>
    <row r="82" spans="2:10" ht="15">
      <c r="B82" s="548"/>
      <c r="C82" s="548"/>
      <c r="D82" s="548"/>
      <c r="E82" s="548"/>
      <c r="F82" s="548"/>
      <c r="G82" s="548"/>
    </row>
    <row r="83" spans="2:10" ht="15">
      <c r="B83" s="23"/>
      <c r="C83" s="8"/>
      <c r="D83" s="8"/>
      <c r="E83" s="23"/>
      <c r="F83" s="23"/>
      <c r="G83" s="23"/>
    </row>
    <row r="84" spans="2:10" ht="15">
      <c r="B84" s="23"/>
      <c r="C84" s="388"/>
      <c r="D84" s="8"/>
      <c r="E84" s="23"/>
      <c r="F84" s="23"/>
      <c r="G84" s="241"/>
    </row>
    <row r="85" spans="2:10" ht="15">
      <c r="B85" s="23"/>
      <c r="C85" s="388"/>
      <c r="D85" s="8"/>
      <c r="E85" s="23"/>
      <c r="F85" s="23"/>
      <c r="G85" s="241"/>
    </row>
    <row r="86" spans="2:10" ht="15">
      <c r="B86" s="219"/>
      <c r="C86" s="390"/>
      <c r="D86" s="392"/>
      <c r="E86" s="219"/>
      <c r="F86" s="219"/>
      <c r="G86" s="220"/>
    </row>
    <row r="87" spans="2:10" ht="15">
      <c r="B87" s="219"/>
      <c r="C87" s="390"/>
      <c r="D87" s="392"/>
      <c r="E87" s="219"/>
      <c r="F87" s="219"/>
      <c r="G87" s="220"/>
    </row>
    <row r="88" spans="2:10" ht="15">
      <c r="B88" s="221"/>
      <c r="C88" s="367"/>
      <c r="D88" s="367"/>
      <c r="E88" s="221"/>
      <c r="F88" s="221"/>
      <c r="G88" s="221"/>
    </row>
    <row r="89" spans="2:10" ht="15">
      <c r="B89" s="221"/>
      <c r="C89" s="367"/>
      <c r="D89" s="367"/>
      <c r="E89" s="221"/>
      <c r="F89" s="221"/>
      <c r="G89" s="221"/>
    </row>
    <row r="90" spans="2:10" ht="15">
      <c r="B90" s="239"/>
      <c r="C90" s="391"/>
      <c r="D90" s="393"/>
      <c r="E90" s="242"/>
      <c r="F90" s="242"/>
      <c r="G90" s="243"/>
    </row>
    <row r="93" spans="2:10" ht="15">
      <c r="B93" s="574"/>
      <c r="C93" s="574"/>
      <c r="D93" s="574"/>
      <c r="E93" s="574"/>
      <c r="F93" s="574"/>
      <c r="G93" s="574"/>
      <c r="H93" s="574"/>
      <c r="I93" s="221"/>
      <c r="J93" s="221"/>
    </row>
    <row r="94" spans="2:10" ht="15">
      <c r="B94" s="574"/>
      <c r="C94" s="574"/>
      <c r="D94" s="574"/>
      <c r="E94" s="574"/>
      <c r="F94" s="574"/>
      <c r="G94" s="574"/>
      <c r="H94" s="574"/>
      <c r="I94" s="575"/>
      <c r="J94" s="575"/>
    </row>
    <row r="95" spans="2:10" ht="15">
      <c r="B95" s="221"/>
      <c r="C95" s="367"/>
      <c r="D95" s="367"/>
      <c r="E95" s="221"/>
      <c r="F95" s="221"/>
      <c r="G95" s="221"/>
      <c r="H95" s="221"/>
      <c r="I95" s="221"/>
      <c r="J95" s="221"/>
    </row>
    <row r="96" spans="2:10" ht="15">
      <c r="B96" s="221"/>
      <c r="C96" s="367"/>
      <c r="D96" s="367"/>
      <c r="E96" s="221"/>
      <c r="F96" s="221"/>
      <c r="G96" s="221"/>
      <c r="H96" s="221"/>
      <c r="I96" s="221"/>
      <c r="J96" s="221"/>
    </row>
    <row r="97" spans="2:10" ht="15">
      <c r="B97" s="574"/>
      <c r="C97" s="574"/>
      <c r="D97" s="574"/>
      <c r="E97" s="574"/>
      <c r="F97" s="574"/>
      <c r="G97" s="574"/>
      <c r="H97" s="574"/>
      <c r="I97" s="576"/>
      <c r="J97" s="575"/>
    </row>
    <row r="98" spans="2:10" ht="15">
      <c r="B98" s="221"/>
      <c r="C98" s="367"/>
      <c r="D98" s="367"/>
      <c r="E98" s="221"/>
      <c r="F98" s="221"/>
      <c r="G98" s="221"/>
      <c r="H98" s="221"/>
      <c r="I98" s="570"/>
      <c r="J98" s="571"/>
    </row>
    <row r="99" spans="2:10" ht="15">
      <c r="B99" s="221"/>
      <c r="C99" s="367"/>
      <c r="D99" s="367"/>
      <c r="E99" s="221"/>
      <c r="F99" s="221"/>
      <c r="G99" s="221"/>
      <c r="H99" s="221"/>
      <c r="I99" s="221"/>
      <c r="J99" s="221"/>
    </row>
    <row r="100" spans="2:10" ht="15">
      <c r="B100" s="572"/>
      <c r="C100" s="572"/>
      <c r="D100" s="572"/>
      <c r="E100" s="572"/>
      <c r="F100" s="572"/>
      <c r="G100" s="572"/>
      <c r="H100" s="572"/>
      <c r="I100" s="573"/>
      <c r="J100" s="573"/>
    </row>
    <row r="107" spans="2:10" ht="15">
      <c r="B107" s="23"/>
      <c r="J107" s="23"/>
    </row>
    <row r="108" spans="2:10" ht="15">
      <c r="B108" s="23"/>
      <c r="J108" s="23"/>
    </row>
    <row r="109" spans="2:10" ht="15">
      <c r="B109" s="23"/>
      <c r="J109" s="23"/>
    </row>
    <row r="119" spans="2:2" ht="15">
      <c r="B119" s="23"/>
    </row>
    <row r="120" spans="2:2" ht="15">
      <c r="B120" s="23"/>
    </row>
    <row r="121" spans="2:2" ht="15">
      <c r="B121" s="23"/>
    </row>
  </sheetData>
  <mergeCells count="19">
    <mergeCell ref="I98:J98"/>
    <mergeCell ref="B100:H100"/>
    <mergeCell ref="I100:J100"/>
    <mergeCell ref="B82:G82"/>
    <mergeCell ref="B93:H93"/>
    <mergeCell ref="B94:H94"/>
    <mergeCell ref="I94:J94"/>
    <mergeCell ref="B97:H97"/>
    <mergeCell ref="I97:J97"/>
    <mergeCell ref="J1:K1"/>
    <mergeCell ref="J2:K2"/>
    <mergeCell ref="B70:G70"/>
    <mergeCell ref="I70:L70"/>
    <mergeCell ref="H10:K11"/>
    <mergeCell ref="H14:H15"/>
    <mergeCell ref="I14:K15"/>
    <mergeCell ref="H3:K4"/>
    <mergeCell ref="I7:K8"/>
    <mergeCell ref="H7:H8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0">
    <tabColor rgb="FF00B050"/>
  </sheetPr>
  <dimension ref="A1:D38"/>
  <sheetViews>
    <sheetView workbookViewId="0">
      <selection activeCell="F8" sqref="F8"/>
    </sheetView>
  </sheetViews>
  <sheetFormatPr defaultColWidth="8.7109375" defaultRowHeight="15"/>
  <cols>
    <col min="1" max="1" width="10.28515625" customWidth="1"/>
    <col min="2" max="2" width="13.28515625" customWidth="1"/>
    <col min="3" max="3" width="13.42578125" customWidth="1"/>
    <col min="4" max="4" width="11.42578125" customWidth="1"/>
  </cols>
  <sheetData>
    <row r="1" spans="1:4" ht="25.5">
      <c r="A1" s="200" t="s">
        <v>315</v>
      </c>
      <c r="B1" s="200" t="s">
        <v>405</v>
      </c>
      <c r="C1" s="201" t="s">
        <v>25</v>
      </c>
      <c r="D1" s="203" t="s">
        <v>406</v>
      </c>
    </row>
    <row r="2" spans="1:4">
      <c r="A2" s="202" t="s">
        <v>316</v>
      </c>
      <c r="B2" s="204">
        <v>15390.72</v>
      </c>
      <c r="C2" s="208">
        <v>427.52</v>
      </c>
      <c r="D2" s="204">
        <f>B2-C2</f>
        <v>14963.199999999999</v>
      </c>
    </row>
    <row r="3" spans="1:4">
      <c r="A3" s="209" t="s">
        <v>317</v>
      </c>
      <c r="B3" s="210">
        <f t="shared" ref="B3:B37" si="0">D2</f>
        <v>14963.199999999999</v>
      </c>
      <c r="C3" s="208">
        <v>427.52</v>
      </c>
      <c r="D3" s="210">
        <f>B3-C3</f>
        <v>14535.679999999998</v>
      </c>
    </row>
    <row r="4" spans="1:4">
      <c r="A4" s="202" t="s">
        <v>318</v>
      </c>
      <c r="B4" s="204">
        <f t="shared" si="0"/>
        <v>14535.679999999998</v>
      </c>
      <c r="C4" s="208">
        <v>427.52</v>
      </c>
      <c r="D4" s="204">
        <f t="shared" ref="D4:D37" si="1">B4-C4</f>
        <v>14108.159999999998</v>
      </c>
    </row>
    <row r="5" spans="1:4">
      <c r="A5" s="209" t="s">
        <v>319</v>
      </c>
      <c r="B5" s="210">
        <f t="shared" si="0"/>
        <v>14108.159999999998</v>
      </c>
      <c r="C5" s="208">
        <v>427.52</v>
      </c>
      <c r="D5" s="210">
        <f t="shared" si="1"/>
        <v>13680.639999999998</v>
      </c>
    </row>
    <row r="6" spans="1:4">
      <c r="A6" s="202" t="s">
        <v>320</v>
      </c>
      <c r="B6" s="204">
        <f t="shared" si="0"/>
        <v>13680.639999999998</v>
      </c>
      <c r="C6" s="208">
        <v>427.52</v>
      </c>
      <c r="D6" s="204">
        <f t="shared" si="1"/>
        <v>13253.119999999997</v>
      </c>
    </row>
    <row r="7" spans="1:4">
      <c r="A7" s="209" t="s">
        <v>321</v>
      </c>
      <c r="B7" s="210">
        <f t="shared" si="0"/>
        <v>13253.119999999997</v>
      </c>
      <c r="C7" s="208">
        <v>427.52</v>
      </c>
      <c r="D7" s="210">
        <f t="shared" si="1"/>
        <v>12825.599999999997</v>
      </c>
    </row>
    <row r="8" spans="1:4">
      <c r="A8" s="202" t="s">
        <v>322</v>
      </c>
      <c r="B8" s="204">
        <f t="shared" si="0"/>
        <v>12825.599999999997</v>
      </c>
      <c r="C8" s="208">
        <v>427.52</v>
      </c>
      <c r="D8" s="204">
        <f t="shared" si="1"/>
        <v>12398.079999999996</v>
      </c>
    </row>
    <row r="9" spans="1:4">
      <c r="A9" s="209" t="s">
        <v>323</v>
      </c>
      <c r="B9" s="210">
        <f t="shared" si="0"/>
        <v>12398.079999999996</v>
      </c>
      <c r="C9" s="208">
        <v>427.52</v>
      </c>
      <c r="D9" s="210">
        <f t="shared" si="1"/>
        <v>11970.559999999996</v>
      </c>
    </row>
    <row r="10" spans="1:4">
      <c r="A10" s="202" t="s">
        <v>324</v>
      </c>
      <c r="B10" s="204">
        <f t="shared" si="0"/>
        <v>11970.559999999996</v>
      </c>
      <c r="C10" s="208">
        <v>427.52</v>
      </c>
      <c r="D10" s="204">
        <f t="shared" si="1"/>
        <v>11543.039999999995</v>
      </c>
    </row>
    <row r="11" spans="1:4">
      <c r="A11" s="209" t="s">
        <v>325</v>
      </c>
      <c r="B11" s="210">
        <f t="shared" si="0"/>
        <v>11543.039999999995</v>
      </c>
      <c r="C11" s="208">
        <v>427.52</v>
      </c>
      <c r="D11" s="210">
        <f t="shared" si="1"/>
        <v>11115.519999999995</v>
      </c>
    </row>
    <row r="12" spans="1:4">
      <c r="A12" s="202" t="s">
        <v>326</v>
      </c>
      <c r="B12" s="204">
        <f t="shared" si="0"/>
        <v>11115.519999999995</v>
      </c>
      <c r="C12" s="208">
        <v>427.52</v>
      </c>
      <c r="D12" s="204">
        <f t="shared" si="1"/>
        <v>10687.999999999995</v>
      </c>
    </row>
    <row r="13" spans="1:4">
      <c r="A13" s="209" t="s">
        <v>327</v>
      </c>
      <c r="B13" s="210">
        <f t="shared" si="0"/>
        <v>10687.999999999995</v>
      </c>
      <c r="C13" s="208">
        <v>427.52</v>
      </c>
      <c r="D13" s="210">
        <f t="shared" si="1"/>
        <v>10260.479999999994</v>
      </c>
    </row>
    <row r="14" spans="1:4">
      <c r="A14" s="202" t="s">
        <v>328</v>
      </c>
      <c r="B14" s="204">
        <f t="shared" si="0"/>
        <v>10260.479999999994</v>
      </c>
      <c r="C14" s="208">
        <v>427.52</v>
      </c>
      <c r="D14" s="204">
        <f t="shared" si="1"/>
        <v>9832.9599999999937</v>
      </c>
    </row>
    <row r="15" spans="1:4">
      <c r="A15" s="209" t="s">
        <v>329</v>
      </c>
      <c r="B15" s="210">
        <f t="shared" si="0"/>
        <v>9832.9599999999937</v>
      </c>
      <c r="C15" s="208">
        <v>427.52</v>
      </c>
      <c r="D15" s="210">
        <f t="shared" si="1"/>
        <v>9405.4399999999932</v>
      </c>
    </row>
    <row r="16" spans="1:4">
      <c r="A16" s="202" t="s">
        <v>330</v>
      </c>
      <c r="B16" s="204">
        <f t="shared" si="0"/>
        <v>9405.4399999999932</v>
      </c>
      <c r="C16" s="208">
        <v>427.52</v>
      </c>
      <c r="D16" s="204">
        <f t="shared" si="1"/>
        <v>8977.9199999999928</v>
      </c>
    </row>
    <row r="17" spans="1:4">
      <c r="A17" s="209" t="s">
        <v>331</v>
      </c>
      <c r="B17" s="210">
        <f t="shared" si="0"/>
        <v>8977.9199999999928</v>
      </c>
      <c r="C17" s="208">
        <v>427.52</v>
      </c>
      <c r="D17" s="210">
        <f t="shared" si="1"/>
        <v>8550.3999999999924</v>
      </c>
    </row>
    <row r="18" spans="1:4">
      <c r="A18" s="202" t="s">
        <v>332</v>
      </c>
      <c r="B18" s="204">
        <f t="shared" si="0"/>
        <v>8550.3999999999924</v>
      </c>
      <c r="C18" s="208">
        <v>427.52</v>
      </c>
      <c r="D18" s="204">
        <f t="shared" si="1"/>
        <v>8122.8799999999919</v>
      </c>
    </row>
    <row r="19" spans="1:4">
      <c r="A19" s="209" t="s">
        <v>333</v>
      </c>
      <c r="B19" s="210">
        <f t="shared" si="0"/>
        <v>8122.8799999999919</v>
      </c>
      <c r="C19" s="208">
        <v>427.52</v>
      </c>
      <c r="D19" s="210">
        <f t="shared" si="1"/>
        <v>7695.3599999999915</v>
      </c>
    </row>
    <row r="20" spans="1:4">
      <c r="A20" s="202" t="s">
        <v>334</v>
      </c>
      <c r="B20" s="204">
        <f t="shared" si="0"/>
        <v>7695.3599999999915</v>
      </c>
      <c r="C20" s="208">
        <v>427.52</v>
      </c>
      <c r="D20" s="204">
        <f t="shared" si="1"/>
        <v>7267.8399999999911</v>
      </c>
    </row>
    <row r="21" spans="1:4">
      <c r="A21" s="209" t="s">
        <v>335</v>
      </c>
      <c r="B21" s="210">
        <f t="shared" si="0"/>
        <v>7267.8399999999911</v>
      </c>
      <c r="C21" s="208">
        <v>427.52</v>
      </c>
      <c r="D21" s="210">
        <f t="shared" si="1"/>
        <v>6840.3199999999906</v>
      </c>
    </row>
    <row r="22" spans="1:4">
      <c r="A22" s="202" t="s">
        <v>336</v>
      </c>
      <c r="B22" s="204">
        <f t="shared" si="0"/>
        <v>6840.3199999999906</v>
      </c>
      <c r="C22" s="208">
        <v>427.52</v>
      </c>
      <c r="D22" s="204">
        <f t="shared" si="1"/>
        <v>6412.7999999999902</v>
      </c>
    </row>
    <row r="23" spans="1:4">
      <c r="A23" s="209" t="s">
        <v>337</v>
      </c>
      <c r="B23" s="210">
        <f t="shared" si="0"/>
        <v>6412.7999999999902</v>
      </c>
      <c r="C23" s="208">
        <v>427.52</v>
      </c>
      <c r="D23" s="210">
        <f t="shared" si="1"/>
        <v>5985.2799999999897</v>
      </c>
    </row>
    <row r="24" spans="1:4">
      <c r="A24" s="202" t="s">
        <v>338</v>
      </c>
      <c r="B24" s="204">
        <f t="shared" si="0"/>
        <v>5985.2799999999897</v>
      </c>
      <c r="C24" s="208">
        <v>427.52</v>
      </c>
      <c r="D24" s="204">
        <f t="shared" si="1"/>
        <v>5557.7599999999893</v>
      </c>
    </row>
    <row r="25" spans="1:4">
      <c r="A25" s="209" t="s">
        <v>339</v>
      </c>
      <c r="B25" s="210">
        <f t="shared" si="0"/>
        <v>5557.7599999999893</v>
      </c>
      <c r="C25" s="208">
        <v>427.52</v>
      </c>
      <c r="D25" s="210">
        <f t="shared" si="1"/>
        <v>5130.2399999999889</v>
      </c>
    </row>
    <row r="26" spans="1:4">
      <c r="A26" s="202" t="s">
        <v>340</v>
      </c>
      <c r="B26" s="204">
        <f t="shared" si="0"/>
        <v>5130.2399999999889</v>
      </c>
      <c r="C26" s="208">
        <v>427.52</v>
      </c>
      <c r="D26" s="204">
        <f t="shared" si="1"/>
        <v>4702.7199999999884</v>
      </c>
    </row>
    <row r="27" spans="1:4">
      <c r="A27" s="209" t="s">
        <v>341</v>
      </c>
      <c r="B27" s="210">
        <f t="shared" si="0"/>
        <v>4702.7199999999884</v>
      </c>
      <c r="C27" s="208">
        <v>427.52</v>
      </c>
      <c r="D27" s="210">
        <f t="shared" si="1"/>
        <v>4275.199999999988</v>
      </c>
    </row>
    <row r="28" spans="1:4">
      <c r="A28" s="202" t="s">
        <v>342</v>
      </c>
      <c r="B28" s="204">
        <f t="shared" si="0"/>
        <v>4275.199999999988</v>
      </c>
      <c r="C28" s="208">
        <v>427.52</v>
      </c>
      <c r="D28" s="204">
        <f t="shared" si="1"/>
        <v>3847.679999999988</v>
      </c>
    </row>
    <row r="29" spans="1:4">
      <c r="A29" s="209" t="s">
        <v>343</v>
      </c>
      <c r="B29" s="210">
        <f t="shared" si="0"/>
        <v>3847.679999999988</v>
      </c>
      <c r="C29" s="208">
        <v>427.52</v>
      </c>
      <c r="D29" s="210">
        <f t="shared" si="1"/>
        <v>3420.159999999988</v>
      </c>
    </row>
    <row r="30" spans="1:4">
      <c r="A30" s="202" t="s">
        <v>344</v>
      </c>
      <c r="B30" s="204">
        <f t="shared" si="0"/>
        <v>3420.159999999988</v>
      </c>
      <c r="C30" s="208">
        <v>427.52</v>
      </c>
      <c r="D30" s="204">
        <f t="shared" si="1"/>
        <v>2992.639999999988</v>
      </c>
    </row>
    <row r="31" spans="1:4">
      <c r="A31" s="209" t="s">
        <v>345</v>
      </c>
      <c r="B31" s="210">
        <f t="shared" si="0"/>
        <v>2992.639999999988</v>
      </c>
      <c r="C31" s="208">
        <v>427.52</v>
      </c>
      <c r="D31" s="210">
        <f t="shared" si="1"/>
        <v>2565.1199999999881</v>
      </c>
    </row>
    <row r="32" spans="1:4">
      <c r="A32" s="202" t="s">
        <v>346</v>
      </c>
      <c r="B32" s="204">
        <f t="shared" si="0"/>
        <v>2565.1199999999881</v>
      </c>
      <c r="C32" s="208">
        <v>427.52</v>
      </c>
      <c r="D32" s="204">
        <f t="shared" si="1"/>
        <v>2137.5999999999881</v>
      </c>
    </row>
    <row r="33" spans="1:4">
      <c r="A33" s="209" t="s">
        <v>347</v>
      </c>
      <c r="B33" s="210">
        <f t="shared" si="0"/>
        <v>2137.5999999999881</v>
      </c>
      <c r="C33" s="208">
        <v>427.52</v>
      </c>
      <c r="D33" s="210">
        <f t="shared" si="1"/>
        <v>1710.0799999999881</v>
      </c>
    </row>
    <row r="34" spans="1:4">
      <c r="A34" s="202" t="s">
        <v>348</v>
      </c>
      <c r="B34" s="204">
        <f t="shared" si="0"/>
        <v>1710.0799999999881</v>
      </c>
      <c r="C34" s="208">
        <v>427.52</v>
      </c>
      <c r="D34" s="204">
        <f t="shared" si="1"/>
        <v>1282.5599999999881</v>
      </c>
    </row>
    <row r="35" spans="1:4">
      <c r="A35" s="209" t="s">
        <v>349</v>
      </c>
      <c r="B35" s="210">
        <f t="shared" si="0"/>
        <v>1282.5599999999881</v>
      </c>
      <c r="C35" s="208">
        <v>427.52</v>
      </c>
      <c r="D35" s="210">
        <f t="shared" si="1"/>
        <v>855.03999999998814</v>
      </c>
    </row>
    <row r="36" spans="1:4">
      <c r="A36" s="211" t="s">
        <v>350</v>
      </c>
      <c r="B36" s="212">
        <f t="shared" si="0"/>
        <v>855.03999999998814</v>
      </c>
      <c r="C36" s="208">
        <v>427.52</v>
      </c>
      <c r="D36" s="204">
        <f t="shared" si="1"/>
        <v>427.51999999998816</v>
      </c>
    </row>
    <row r="37" spans="1:4">
      <c r="A37" s="209" t="s">
        <v>351</v>
      </c>
      <c r="B37" s="210">
        <f t="shared" si="0"/>
        <v>427.51999999998816</v>
      </c>
      <c r="C37" s="208">
        <v>427.52</v>
      </c>
      <c r="D37" s="210">
        <f t="shared" si="1"/>
        <v>-1.1823431123048067E-11</v>
      </c>
    </row>
    <row r="38" spans="1:4">
      <c r="A38" s="213" t="s">
        <v>22</v>
      </c>
      <c r="B38" s="214"/>
      <c r="C38" s="215">
        <f>SUM(C2:C37)</f>
        <v>15390.72000000001</v>
      </c>
      <c r="D38" s="2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1"/>
  <dimension ref="A1:R41"/>
  <sheetViews>
    <sheetView showGridLines="0" topLeftCell="A7" workbookViewId="0">
      <selection activeCell="P12" sqref="P12"/>
    </sheetView>
  </sheetViews>
  <sheetFormatPr defaultColWidth="9.140625" defaultRowHeight="12"/>
  <cols>
    <col min="1" max="1" width="30.42578125" style="11" bestFit="1" customWidth="1"/>
    <col min="2" max="2" width="7.7109375" style="11" hidden="1" customWidth="1"/>
    <col min="3" max="3" width="14" style="11" hidden="1" customWidth="1"/>
    <col min="4" max="4" width="17.85546875" style="11" hidden="1" customWidth="1"/>
    <col min="5" max="14" width="15.140625" style="11" hidden="1" customWidth="1"/>
    <col min="15" max="15" width="4.140625" style="11" hidden="1" customWidth="1"/>
    <col min="16" max="16" width="16.85546875" style="11" bestFit="1" customWidth="1"/>
    <col min="17" max="18" width="15.140625" style="11" bestFit="1" customWidth="1"/>
    <col min="19" max="16384" width="9.140625" style="11"/>
  </cols>
  <sheetData>
    <row r="1" spans="1:18" ht="12.75">
      <c r="A1" s="577" t="s">
        <v>373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284" t="s">
        <v>55</v>
      </c>
      <c r="Q1" s="284" t="s">
        <v>56</v>
      </c>
    </row>
    <row r="2" spans="1:18" s="14" customFormat="1">
      <c r="A2" s="270" t="s">
        <v>442</v>
      </c>
      <c r="B2" s="270"/>
      <c r="C2" s="271">
        <f>'Investimento Inicial'!G8</f>
        <v>0</v>
      </c>
      <c r="D2" s="271">
        <f>C33</f>
        <v>0</v>
      </c>
      <c r="E2" s="271">
        <f t="shared" ref="E2:N2" si="0">D33</f>
        <v>0</v>
      </c>
      <c r="F2" s="271">
        <f t="shared" si="0"/>
        <v>0</v>
      </c>
      <c r="G2" s="271">
        <f t="shared" si="0"/>
        <v>0</v>
      </c>
      <c r="H2" s="271">
        <f t="shared" si="0"/>
        <v>0</v>
      </c>
      <c r="I2" s="271">
        <f t="shared" si="0"/>
        <v>0</v>
      </c>
      <c r="J2" s="271">
        <f t="shared" si="0"/>
        <v>0</v>
      </c>
      <c r="K2" s="271">
        <f t="shared" si="0"/>
        <v>0</v>
      </c>
      <c r="L2" s="271">
        <f t="shared" si="0"/>
        <v>0</v>
      </c>
      <c r="M2" s="271">
        <f t="shared" si="0"/>
        <v>0</v>
      </c>
      <c r="N2" s="271">
        <f t="shared" si="0"/>
        <v>0</v>
      </c>
      <c r="O2" s="272"/>
      <c r="P2" s="273">
        <f>'Fluxo de Caixa 01'!C3</f>
        <v>0</v>
      </c>
      <c r="Q2" s="271" t="e">
        <f>'Fluxo de Caixa 02'!P2</f>
        <v>#REF!</v>
      </c>
      <c r="R2" s="13"/>
    </row>
    <row r="3" spans="1:18">
      <c r="A3" s="270" t="s">
        <v>443</v>
      </c>
      <c r="B3" s="274"/>
      <c r="C3" s="271" t="e">
        <f>SUM(C4:C5)</f>
        <v>#REF!</v>
      </c>
      <c r="D3" s="271" t="e">
        <f>SUM(D4:D5)</f>
        <v>#REF!</v>
      </c>
      <c r="E3" s="271" t="e">
        <f t="shared" ref="E3:N3" si="1">SUM(E4:E5)</f>
        <v>#REF!</v>
      </c>
      <c r="F3" s="271" t="e">
        <f t="shared" si="1"/>
        <v>#REF!</v>
      </c>
      <c r="G3" s="271" t="e">
        <f t="shared" si="1"/>
        <v>#REF!</v>
      </c>
      <c r="H3" s="271" t="e">
        <f t="shared" si="1"/>
        <v>#REF!</v>
      </c>
      <c r="I3" s="271" t="e">
        <f t="shared" si="1"/>
        <v>#REF!</v>
      </c>
      <c r="J3" s="271" t="e">
        <f t="shared" si="1"/>
        <v>#REF!</v>
      </c>
      <c r="K3" s="271" t="e">
        <f t="shared" si="1"/>
        <v>#REF!</v>
      </c>
      <c r="L3" s="271" t="e">
        <f t="shared" si="1"/>
        <v>#REF!</v>
      </c>
      <c r="M3" s="271" t="e">
        <f t="shared" si="1"/>
        <v>#REF!</v>
      </c>
      <c r="N3" s="271" t="e">
        <f t="shared" si="1"/>
        <v>#REF!</v>
      </c>
      <c r="O3" s="275"/>
      <c r="P3" s="273">
        <f>'Fluxo de Caixa 01'!P4</f>
        <v>0</v>
      </c>
      <c r="Q3" s="271" t="e">
        <f>'Fluxo de Caixa 02'!P3</f>
        <v>#REF!</v>
      </c>
    </row>
    <row r="4" spans="1:18">
      <c r="A4" s="276" t="s">
        <v>97</v>
      </c>
      <c r="B4" s="277">
        <v>0.7</v>
      </c>
      <c r="C4" s="278" t="e">
        <f>Mercado!#REF!*B4</f>
        <v>#REF!</v>
      </c>
      <c r="D4" s="278" t="e">
        <f>Mercado!#REF!*B4</f>
        <v>#REF!</v>
      </c>
      <c r="E4" s="278" t="e">
        <f>Mercado!#REF!*B4</f>
        <v>#REF!</v>
      </c>
      <c r="F4" s="278" t="e">
        <f>Mercado!#REF!*B4</f>
        <v>#REF!</v>
      </c>
      <c r="G4" s="278" t="e">
        <f>Mercado!#REF!*B4</f>
        <v>#REF!</v>
      </c>
      <c r="H4" s="278" t="e">
        <f>Mercado!#REF!*B4</f>
        <v>#REF!</v>
      </c>
      <c r="I4" s="278" t="e">
        <f>Mercado!#REF!*B4</f>
        <v>#REF!</v>
      </c>
      <c r="J4" s="278" t="e">
        <f>Mercado!#REF!*B4</f>
        <v>#REF!</v>
      </c>
      <c r="K4" s="278" t="e">
        <f>Mercado!#REF!*B4</f>
        <v>#REF!</v>
      </c>
      <c r="L4" s="278" t="e">
        <f>Mercado!#REF!*B4</f>
        <v>#REF!</v>
      </c>
      <c r="M4" s="278" t="e">
        <f>Mercado!#REF!*B4</f>
        <v>#REF!</v>
      </c>
      <c r="N4" s="278" t="e">
        <f>Mercado!#REF!*B4</f>
        <v>#REF!</v>
      </c>
      <c r="O4" s="275"/>
      <c r="P4" s="279">
        <f>'Fluxo de Caixa 01'!P5</f>
        <v>0</v>
      </c>
      <c r="Q4" s="278" t="e">
        <f>'Fluxo de Caixa 02'!P4</f>
        <v>#REF!</v>
      </c>
    </row>
    <row r="5" spans="1:18">
      <c r="A5" s="276" t="s">
        <v>42</v>
      </c>
      <c r="B5" s="277">
        <v>0.3</v>
      </c>
      <c r="C5" s="278" t="e">
        <f>Mercado!#REF!*B5</f>
        <v>#REF!</v>
      </c>
      <c r="D5" s="278" t="e">
        <f>Mercado!#REF!*B5</f>
        <v>#REF!</v>
      </c>
      <c r="E5" s="278" t="e">
        <f>Mercado!#REF!*B5</f>
        <v>#REF!</v>
      </c>
      <c r="F5" s="278" t="e">
        <f>Mercado!#REF!*B5</f>
        <v>#REF!</v>
      </c>
      <c r="G5" s="278" t="e">
        <f>Mercado!#REF!*B5</f>
        <v>#REF!</v>
      </c>
      <c r="H5" s="278" t="e">
        <f>Mercado!#REF!*B5</f>
        <v>#REF!</v>
      </c>
      <c r="I5" s="278" t="e">
        <f>Mercado!#REF!*B5</f>
        <v>#REF!</v>
      </c>
      <c r="J5" s="278" t="e">
        <f>Mercado!#REF!*B5</f>
        <v>#REF!</v>
      </c>
      <c r="K5" s="278" t="e">
        <f>Mercado!#REF!*B5</f>
        <v>#REF!</v>
      </c>
      <c r="L5" s="278" t="e">
        <f>Mercado!#REF!*B5</f>
        <v>#REF!</v>
      </c>
      <c r="M5" s="278" t="e">
        <f>Mercado!#REF!*B5</f>
        <v>#REF!</v>
      </c>
      <c r="N5" s="278" t="e">
        <f>Mercado!#REF!*B5</f>
        <v>#REF!</v>
      </c>
      <c r="O5" s="275"/>
      <c r="P5" s="279" t="e">
        <f>'Fluxo de Caixa 01'!#REF!</f>
        <v>#REF!</v>
      </c>
      <c r="Q5" s="278" t="e">
        <f>'Fluxo de Caixa 02'!P5</f>
        <v>#REF!</v>
      </c>
    </row>
    <row r="6" spans="1:18" s="14" customFormat="1">
      <c r="A6" s="270" t="s">
        <v>444</v>
      </c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2"/>
      <c r="P6" s="273">
        <f>SUM(P7:P9)</f>
        <v>78412.290000000008</v>
      </c>
      <c r="Q6" s="271"/>
    </row>
    <row r="7" spans="1:18" s="14" customFormat="1">
      <c r="A7" s="270" t="s">
        <v>445</v>
      </c>
      <c r="B7" s="270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2"/>
      <c r="P7" s="273">
        <v>48240</v>
      </c>
      <c r="Q7" s="271"/>
    </row>
    <row r="8" spans="1:18" s="14" customFormat="1">
      <c r="A8" s="270" t="s">
        <v>446</v>
      </c>
      <c r="B8" s="270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2"/>
      <c r="P8" s="273">
        <v>600</v>
      </c>
      <c r="Q8" s="271"/>
    </row>
    <row r="9" spans="1:18">
      <c r="A9" s="276" t="s">
        <v>448</v>
      </c>
      <c r="B9" s="276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75"/>
      <c r="P9" s="279">
        <v>29572.29</v>
      </c>
      <c r="Q9" s="278"/>
    </row>
    <row r="10" spans="1:18">
      <c r="A10" s="276" t="s">
        <v>447</v>
      </c>
      <c r="B10" s="276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75"/>
      <c r="P10" s="279">
        <f>P3+P2</f>
        <v>0</v>
      </c>
      <c r="Q10" s="278"/>
    </row>
    <row r="11" spans="1:18">
      <c r="A11" s="276" t="s">
        <v>225</v>
      </c>
      <c r="B11" s="281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75"/>
      <c r="P11" s="279">
        <v>1246.7</v>
      </c>
      <c r="Q11" s="278"/>
    </row>
    <row r="12" spans="1:18">
      <c r="A12" s="276"/>
      <c r="B12" s="276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75"/>
      <c r="P12" s="279"/>
      <c r="Q12" s="278"/>
    </row>
    <row r="13" spans="1:18">
      <c r="A13" s="276"/>
      <c r="B13" s="276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75"/>
      <c r="P13" s="279"/>
      <c r="Q13" s="278"/>
    </row>
    <row r="14" spans="1:18">
      <c r="A14" s="276"/>
      <c r="B14" s="276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75"/>
      <c r="P14" s="279"/>
      <c r="Q14" s="278"/>
    </row>
    <row r="15" spans="1:18">
      <c r="A15" s="276"/>
      <c r="B15" s="276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75"/>
      <c r="P15" s="279"/>
      <c r="Q15" s="278"/>
    </row>
    <row r="16" spans="1:18" s="14" customFormat="1">
      <c r="A16" s="270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2"/>
      <c r="P16" s="273"/>
      <c r="Q16" s="271"/>
    </row>
    <row r="17" spans="1:17">
      <c r="A17" s="276"/>
      <c r="B17" s="277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5"/>
      <c r="P17" s="279"/>
      <c r="Q17" s="278"/>
    </row>
    <row r="18" spans="1:17">
      <c r="A18" s="276"/>
      <c r="B18" s="282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5"/>
      <c r="P18" s="279"/>
      <c r="Q18" s="278"/>
    </row>
    <row r="19" spans="1:17">
      <c r="A19" s="276"/>
      <c r="B19" s="277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8"/>
      <c r="N19" s="278"/>
      <c r="O19" s="275"/>
      <c r="P19" s="279"/>
      <c r="Q19" s="278"/>
    </row>
    <row r="20" spans="1:17">
      <c r="A20" s="275"/>
      <c r="B20" s="275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5"/>
      <c r="P20" s="279"/>
      <c r="Q20" s="278"/>
    </row>
    <row r="21" spans="1:17" s="14" customFormat="1">
      <c r="A21" s="270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2"/>
      <c r="P21" s="273"/>
      <c r="Q21" s="271"/>
    </row>
    <row r="22" spans="1:17" s="14" customFormat="1">
      <c r="A22" s="270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2"/>
      <c r="P22" s="273"/>
      <c r="Q22" s="271"/>
    </row>
    <row r="23" spans="1:17">
      <c r="A23" s="276"/>
      <c r="B23" s="283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5"/>
      <c r="P23" s="279"/>
      <c r="Q23" s="278"/>
    </row>
    <row r="24" spans="1:17">
      <c r="A24" s="276"/>
      <c r="B24" s="27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9"/>
      <c r="Q24" s="278"/>
    </row>
    <row r="25" spans="1:17">
      <c r="A25" s="270"/>
      <c r="B25" s="276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5"/>
      <c r="P25" s="273"/>
      <c r="Q25" s="271"/>
    </row>
    <row r="26" spans="1:17">
      <c r="A26" s="276"/>
      <c r="B26" s="276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5"/>
      <c r="P26" s="279"/>
      <c r="Q26" s="278"/>
    </row>
    <row r="27" spans="1:17">
      <c r="A27" s="270"/>
      <c r="B27" s="281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5"/>
      <c r="P27" s="273"/>
      <c r="Q27" s="271"/>
    </row>
    <row r="28" spans="1:17">
      <c r="A28" s="276"/>
      <c r="B28" s="276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5"/>
      <c r="P28" s="279"/>
      <c r="Q28" s="278"/>
    </row>
    <row r="29" spans="1:17">
      <c r="A29" s="270"/>
      <c r="B29" s="276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75"/>
      <c r="P29" s="273"/>
      <c r="Q29" s="271"/>
    </row>
    <row r="30" spans="1:17">
      <c r="A30" s="276"/>
      <c r="B30" s="276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75"/>
      <c r="P30" s="279"/>
      <c r="Q30" s="278"/>
    </row>
    <row r="31" spans="1:17">
      <c r="A31" s="276"/>
      <c r="B31" s="276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75"/>
      <c r="P31" s="279"/>
      <c r="Q31" s="278"/>
    </row>
    <row r="32" spans="1:17">
      <c r="A32" s="276"/>
      <c r="B32" s="276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75"/>
      <c r="P32" s="279"/>
      <c r="Q32" s="278"/>
    </row>
    <row r="33" spans="1:17">
      <c r="A33" s="276"/>
      <c r="B33" s="276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5"/>
      <c r="P33" s="279"/>
      <c r="Q33" s="278"/>
    </row>
    <row r="34" spans="1:17">
      <c r="A34" s="270"/>
      <c r="B34" s="276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5"/>
      <c r="P34" s="273"/>
      <c r="Q34" s="271"/>
    </row>
    <row r="35" spans="1:17" s="14" customFormat="1">
      <c r="A35" s="20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P35" s="15"/>
    </row>
    <row r="36" spans="1:17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P36" s="15"/>
    </row>
    <row r="37" spans="1:17" s="14" customFormat="1">
      <c r="A37" s="12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P37" s="15"/>
    </row>
    <row r="38" spans="1:17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P38" s="15"/>
    </row>
    <row r="39" spans="1:17">
      <c r="A39" s="12"/>
      <c r="B39" s="12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P39" s="15"/>
    </row>
    <row r="40" spans="1:17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P40" s="15"/>
    </row>
    <row r="41" spans="1:17" s="14" customFormat="1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P41" s="15"/>
    </row>
  </sheetData>
  <mergeCells count="1">
    <mergeCell ref="A1:O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2"/>
  <dimension ref="A2:W82"/>
  <sheetViews>
    <sheetView topLeftCell="A67" workbookViewId="0">
      <selection activeCell="A2" sqref="A2:G82"/>
    </sheetView>
  </sheetViews>
  <sheetFormatPr defaultColWidth="8.7109375" defaultRowHeight="15"/>
  <cols>
    <col min="1" max="1" width="10.42578125" bestFit="1" customWidth="1"/>
    <col min="2" max="2" width="15.85546875" bestFit="1" customWidth="1"/>
    <col min="3" max="3" width="13.28515625" bestFit="1" customWidth="1"/>
    <col min="4" max="4" width="14.7109375" bestFit="1" customWidth="1"/>
    <col min="5" max="5" width="14.28515625" bestFit="1" customWidth="1"/>
    <col min="6" max="6" width="19.42578125" bestFit="1" customWidth="1"/>
    <col min="7" max="7" width="16.140625" bestFit="1" customWidth="1"/>
    <col min="9" max="9" width="18.42578125" style="261" bestFit="1" customWidth="1"/>
    <col min="10" max="11" width="10.85546875" bestFit="1" customWidth="1"/>
  </cols>
  <sheetData>
    <row r="2" spans="1:7">
      <c r="A2" s="39" t="s">
        <v>55</v>
      </c>
      <c r="B2" s="216" t="s">
        <v>353</v>
      </c>
      <c r="C2" s="216" t="s">
        <v>354</v>
      </c>
      <c r="D2" s="216" t="s">
        <v>355</v>
      </c>
      <c r="E2" s="216" t="s">
        <v>362</v>
      </c>
      <c r="F2" s="216" t="s">
        <v>356</v>
      </c>
      <c r="G2" s="216" t="s">
        <v>357</v>
      </c>
    </row>
    <row r="3" spans="1:7">
      <c r="A3" s="23" t="s">
        <v>1</v>
      </c>
      <c r="B3" s="222" t="e">
        <f>Mercado!#REF!</f>
        <v>#REF!</v>
      </c>
      <c r="C3" s="222" t="e">
        <f t="shared" ref="C3:C14" si="0">B3*0.65/100</f>
        <v>#REF!</v>
      </c>
      <c r="D3" s="222" t="e">
        <f>B3*7.6/100</f>
        <v>#REF!</v>
      </c>
      <c r="E3" s="222" t="e">
        <f>B3*4/100</f>
        <v>#REF!</v>
      </c>
      <c r="F3" s="218" t="e">
        <f>SUM(C3:E3)</f>
        <v>#REF!</v>
      </c>
      <c r="G3" s="218" t="e">
        <f t="shared" ref="G3:G14" si="1">B3-F3</f>
        <v>#REF!</v>
      </c>
    </row>
    <row r="4" spans="1:7">
      <c r="A4" s="23" t="s">
        <v>2</v>
      </c>
      <c r="B4" s="222" t="e">
        <f>Mercado!#REF!</f>
        <v>#REF!</v>
      </c>
      <c r="C4" s="222" t="e">
        <f t="shared" si="0"/>
        <v>#REF!</v>
      </c>
      <c r="D4" s="222" t="e">
        <f t="shared" ref="D4:D14" si="2">B4*7.6/100</f>
        <v>#REF!</v>
      </c>
      <c r="E4" s="222" t="e">
        <f t="shared" ref="E4:E14" si="3">B4*4/100</f>
        <v>#REF!</v>
      </c>
      <c r="F4" s="218" t="e">
        <f t="shared" ref="F4:F14" si="4">SUM(C4:E4)</f>
        <v>#REF!</v>
      </c>
      <c r="G4" s="218" t="e">
        <f t="shared" si="1"/>
        <v>#REF!</v>
      </c>
    </row>
    <row r="5" spans="1:7">
      <c r="A5" s="23" t="s">
        <v>3</v>
      </c>
      <c r="B5" s="222" t="e">
        <f>Mercado!#REF!</f>
        <v>#REF!</v>
      </c>
      <c r="C5" s="222" t="e">
        <f t="shared" si="0"/>
        <v>#REF!</v>
      </c>
      <c r="D5" s="222" t="e">
        <f t="shared" si="2"/>
        <v>#REF!</v>
      </c>
      <c r="E5" s="222" t="e">
        <f t="shared" si="3"/>
        <v>#REF!</v>
      </c>
      <c r="F5" s="218" t="e">
        <f t="shared" si="4"/>
        <v>#REF!</v>
      </c>
      <c r="G5" s="218" t="e">
        <f t="shared" si="1"/>
        <v>#REF!</v>
      </c>
    </row>
    <row r="6" spans="1:7">
      <c r="A6" s="23" t="s">
        <v>4</v>
      </c>
      <c r="B6" s="222" t="e">
        <f>Mercado!#REF!</f>
        <v>#REF!</v>
      </c>
      <c r="C6" s="222" t="e">
        <f t="shared" si="0"/>
        <v>#REF!</v>
      </c>
      <c r="D6" s="222" t="e">
        <f t="shared" si="2"/>
        <v>#REF!</v>
      </c>
      <c r="E6" s="222" t="e">
        <f t="shared" si="3"/>
        <v>#REF!</v>
      </c>
      <c r="F6" s="218" t="e">
        <f t="shared" si="4"/>
        <v>#REF!</v>
      </c>
      <c r="G6" s="218" t="e">
        <f t="shared" si="1"/>
        <v>#REF!</v>
      </c>
    </row>
    <row r="7" spans="1:7">
      <c r="A7" s="23" t="s">
        <v>5</v>
      </c>
      <c r="B7" s="222" t="e">
        <f>Mercado!#REF!</f>
        <v>#REF!</v>
      </c>
      <c r="C7" s="222" t="e">
        <f t="shared" si="0"/>
        <v>#REF!</v>
      </c>
      <c r="D7" s="222" t="e">
        <f t="shared" si="2"/>
        <v>#REF!</v>
      </c>
      <c r="E7" s="222" t="e">
        <f t="shared" si="3"/>
        <v>#REF!</v>
      </c>
      <c r="F7" s="218" t="e">
        <f t="shared" si="4"/>
        <v>#REF!</v>
      </c>
      <c r="G7" s="218" t="e">
        <f t="shared" si="1"/>
        <v>#REF!</v>
      </c>
    </row>
    <row r="8" spans="1:7">
      <c r="A8" s="23" t="s">
        <v>6</v>
      </c>
      <c r="B8" s="222" t="e">
        <f>Mercado!#REF!</f>
        <v>#REF!</v>
      </c>
      <c r="C8" s="222" t="e">
        <f t="shared" si="0"/>
        <v>#REF!</v>
      </c>
      <c r="D8" s="222" t="e">
        <f t="shared" si="2"/>
        <v>#REF!</v>
      </c>
      <c r="E8" s="222" t="e">
        <f t="shared" si="3"/>
        <v>#REF!</v>
      </c>
      <c r="F8" s="218" t="e">
        <f t="shared" si="4"/>
        <v>#REF!</v>
      </c>
      <c r="G8" s="218" t="e">
        <f t="shared" si="1"/>
        <v>#REF!</v>
      </c>
    </row>
    <row r="9" spans="1:7">
      <c r="A9" s="23" t="s">
        <v>7</v>
      </c>
      <c r="B9" s="222" t="e">
        <f>Mercado!#REF!</f>
        <v>#REF!</v>
      </c>
      <c r="C9" s="222" t="e">
        <f t="shared" si="0"/>
        <v>#REF!</v>
      </c>
      <c r="D9" s="222" t="e">
        <f t="shared" si="2"/>
        <v>#REF!</v>
      </c>
      <c r="E9" s="222" t="e">
        <f t="shared" si="3"/>
        <v>#REF!</v>
      </c>
      <c r="F9" s="218" t="e">
        <f t="shared" si="4"/>
        <v>#REF!</v>
      </c>
      <c r="G9" s="218" t="e">
        <f t="shared" si="1"/>
        <v>#REF!</v>
      </c>
    </row>
    <row r="10" spans="1:7">
      <c r="A10" s="23" t="s">
        <v>8</v>
      </c>
      <c r="B10" s="222" t="e">
        <f>Mercado!#REF!</f>
        <v>#REF!</v>
      </c>
      <c r="C10" s="222" t="e">
        <f t="shared" si="0"/>
        <v>#REF!</v>
      </c>
      <c r="D10" s="222" t="e">
        <f t="shared" si="2"/>
        <v>#REF!</v>
      </c>
      <c r="E10" s="222" t="e">
        <f t="shared" si="3"/>
        <v>#REF!</v>
      </c>
      <c r="F10" s="218" t="e">
        <f t="shared" si="4"/>
        <v>#REF!</v>
      </c>
      <c r="G10" s="218" t="e">
        <f t="shared" si="1"/>
        <v>#REF!</v>
      </c>
    </row>
    <row r="11" spans="1:7">
      <c r="A11" s="23" t="s">
        <v>9</v>
      </c>
      <c r="B11" s="222" t="e">
        <f>Mercado!#REF!</f>
        <v>#REF!</v>
      </c>
      <c r="C11" s="222" t="e">
        <f t="shared" si="0"/>
        <v>#REF!</v>
      </c>
      <c r="D11" s="222" t="e">
        <f t="shared" si="2"/>
        <v>#REF!</v>
      </c>
      <c r="E11" s="222" t="e">
        <f t="shared" si="3"/>
        <v>#REF!</v>
      </c>
      <c r="F11" s="218" t="e">
        <f t="shared" si="4"/>
        <v>#REF!</v>
      </c>
      <c r="G11" s="218" t="e">
        <f t="shared" si="1"/>
        <v>#REF!</v>
      </c>
    </row>
    <row r="12" spans="1:7">
      <c r="A12" s="23" t="s">
        <v>10</v>
      </c>
      <c r="B12" s="222" t="e">
        <f>Mercado!#REF!</f>
        <v>#REF!</v>
      </c>
      <c r="C12" s="222" t="e">
        <f t="shared" si="0"/>
        <v>#REF!</v>
      </c>
      <c r="D12" s="222" t="e">
        <f t="shared" si="2"/>
        <v>#REF!</v>
      </c>
      <c r="E12" s="222" t="e">
        <f t="shared" si="3"/>
        <v>#REF!</v>
      </c>
      <c r="F12" s="218" t="e">
        <f t="shared" si="4"/>
        <v>#REF!</v>
      </c>
      <c r="G12" s="218" t="e">
        <f t="shared" si="1"/>
        <v>#REF!</v>
      </c>
    </row>
    <row r="13" spans="1:7">
      <c r="A13" s="23" t="s">
        <v>11</v>
      </c>
      <c r="B13" s="222" t="e">
        <f>Mercado!#REF!</f>
        <v>#REF!</v>
      </c>
      <c r="C13" s="222" t="e">
        <f t="shared" si="0"/>
        <v>#REF!</v>
      </c>
      <c r="D13" s="222" t="e">
        <f t="shared" si="2"/>
        <v>#REF!</v>
      </c>
      <c r="E13" s="222" t="e">
        <f t="shared" si="3"/>
        <v>#REF!</v>
      </c>
      <c r="F13" s="218" t="e">
        <f t="shared" si="4"/>
        <v>#REF!</v>
      </c>
      <c r="G13" s="218" t="e">
        <f t="shared" si="1"/>
        <v>#REF!</v>
      </c>
    </row>
    <row r="14" spans="1:7">
      <c r="A14" s="23" t="s">
        <v>12</v>
      </c>
      <c r="B14" s="222" t="e">
        <f>Mercado!#REF!</f>
        <v>#REF!</v>
      </c>
      <c r="C14" s="222" t="e">
        <f t="shared" si="0"/>
        <v>#REF!</v>
      </c>
      <c r="D14" s="222" t="e">
        <f t="shared" si="2"/>
        <v>#REF!</v>
      </c>
      <c r="E14" s="222" t="e">
        <f t="shared" si="3"/>
        <v>#REF!</v>
      </c>
      <c r="F14" s="218" t="e">
        <f t="shared" si="4"/>
        <v>#REF!</v>
      </c>
      <c r="G14" s="218" t="e">
        <f t="shared" si="1"/>
        <v>#REF!</v>
      </c>
    </row>
    <row r="15" spans="1:7">
      <c r="A15" s="219" t="s">
        <v>13</v>
      </c>
      <c r="B15" s="223" t="e">
        <f>SUM(B3:B14)</f>
        <v>#REF!</v>
      </c>
      <c r="C15" s="223" t="e">
        <f t="shared" ref="C15:G15" si="5">SUM(C3:C14)</f>
        <v>#REF!</v>
      </c>
      <c r="D15" s="223" t="e">
        <f t="shared" si="5"/>
        <v>#REF!</v>
      </c>
      <c r="E15" s="223" t="e">
        <f t="shared" si="5"/>
        <v>#REF!</v>
      </c>
      <c r="F15" s="223" t="e">
        <f t="shared" si="5"/>
        <v>#REF!</v>
      </c>
      <c r="G15" s="223" t="e">
        <f t="shared" si="5"/>
        <v>#REF!</v>
      </c>
    </row>
    <row r="19" spans="1:7">
      <c r="A19" s="217" t="s">
        <v>56</v>
      </c>
      <c r="B19" s="224" t="s">
        <v>353</v>
      </c>
      <c r="C19" s="224" t="s">
        <v>354</v>
      </c>
      <c r="D19" s="224" t="s">
        <v>355</v>
      </c>
      <c r="E19" s="224" t="s">
        <v>362</v>
      </c>
      <c r="F19" s="224" t="s">
        <v>356</v>
      </c>
      <c r="G19" s="224" t="s">
        <v>357</v>
      </c>
    </row>
    <row r="20" spans="1:7">
      <c r="A20" s="23" t="s">
        <v>1</v>
      </c>
      <c r="B20" s="222" t="e">
        <f>Mercado!#REF!</f>
        <v>#REF!</v>
      </c>
      <c r="C20" s="218" t="e">
        <f t="shared" ref="C20:C32" si="6">B20*0.65/100</f>
        <v>#REF!</v>
      </c>
      <c r="D20" s="218" t="e">
        <f>B20*7.6/100</f>
        <v>#REF!</v>
      </c>
      <c r="E20" s="218" t="e">
        <f>B20*4/100</f>
        <v>#REF!</v>
      </c>
      <c r="F20" s="218" t="e">
        <f>SUM(C20:E20)</f>
        <v>#REF!</v>
      </c>
      <c r="G20" s="218" t="e">
        <f t="shared" ref="G20:G31" si="7">B20-F20</f>
        <v>#REF!</v>
      </c>
    </row>
    <row r="21" spans="1:7">
      <c r="A21" s="23" t="s">
        <v>2</v>
      </c>
      <c r="B21" s="222" t="e">
        <f>Mercado!#REF!</f>
        <v>#REF!</v>
      </c>
      <c r="C21" s="218" t="e">
        <f t="shared" si="6"/>
        <v>#REF!</v>
      </c>
      <c r="D21" s="218" t="e">
        <f t="shared" ref="D21:D30" si="8">B21*7.6/100</f>
        <v>#REF!</v>
      </c>
      <c r="E21" s="218" t="e">
        <f t="shared" ref="E21:E31" si="9">B21*4/100</f>
        <v>#REF!</v>
      </c>
      <c r="F21" s="218" t="e">
        <f t="shared" ref="F21:F31" si="10">SUM(C21:E21)</f>
        <v>#REF!</v>
      </c>
      <c r="G21" s="218" t="e">
        <f t="shared" si="7"/>
        <v>#REF!</v>
      </c>
    </row>
    <row r="22" spans="1:7">
      <c r="A22" s="23" t="s">
        <v>3</v>
      </c>
      <c r="B22" s="222" t="e">
        <f>Mercado!#REF!</f>
        <v>#REF!</v>
      </c>
      <c r="C22" s="218" t="e">
        <f t="shared" si="6"/>
        <v>#REF!</v>
      </c>
      <c r="D22" s="218" t="e">
        <f t="shared" si="8"/>
        <v>#REF!</v>
      </c>
      <c r="E22" s="218" t="e">
        <f t="shared" si="9"/>
        <v>#REF!</v>
      </c>
      <c r="F22" s="218" t="e">
        <f t="shared" si="10"/>
        <v>#REF!</v>
      </c>
      <c r="G22" s="218" t="e">
        <f t="shared" si="7"/>
        <v>#REF!</v>
      </c>
    </row>
    <row r="23" spans="1:7">
      <c r="A23" s="23" t="s">
        <v>4</v>
      </c>
      <c r="B23" s="222" t="e">
        <f>Mercado!#REF!</f>
        <v>#REF!</v>
      </c>
      <c r="C23" s="218" t="e">
        <f t="shared" si="6"/>
        <v>#REF!</v>
      </c>
      <c r="D23" s="218" t="e">
        <f t="shared" si="8"/>
        <v>#REF!</v>
      </c>
      <c r="E23" s="218" t="e">
        <f t="shared" si="9"/>
        <v>#REF!</v>
      </c>
      <c r="F23" s="218" t="e">
        <f t="shared" si="10"/>
        <v>#REF!</v>
      </c>
      <c r="G23" s="218" t="e">
        <f t="shared" si="7"/>
        <v>#REF!</v>
      </c>
    </row>
    <row r="24" spans="1:7">
      <c r="A24" s="23" t="s">
        <v>5</v>
      </c>
      <c r="B24" s="222" t="e">
        <f>Mercado!#REF!</f>
        <v>#REF!</v>
      </c>
      <c r="C24" s="218" t="e">
        <f t="shared" si="6"/>
        <v>#REF!</v>
      </c>
      <c r="D24" s="218" t="e">
        <f t="shared" si="8"/>
        <v>#REF!</v>
      </c>
      <c r="E24" s="218" t="e">
        <f t="shared" si="9"/>
        <v>#REF!</v>
      </c>
      <c r="F24" s="218" t="e">
        <f t="shared" si="10"/>
        <v>#REF!</v>
      </c>
      <c r="G24" s="218" t="e">
        <f t="shared" si="7"/>
        <v>#REF!</v>
      </c>
    </row>
    <row r="25" spans="1:7">
      <c r="A25" s="23" t="s">
        <v>6</v>
      </c>
      <c r="B25" s="222" t="e">
        <f>Mercado!#REF!</f>
        <v>#REF!</v>
      </c>
      <c r="C25" s="218" t="e">
        <f t="shared" si="6"/>
        <v>#REF!</v>
      </c>
      <c r="D25" s="218" t="e">
        <f t="shared" si="8"/>
        <v>#REF!</v>
      </c>
      <c r="E25" s="218" t="e">
        <f t="shared" si="9"/>
        <v>#REF!</v>
      </c>
      <c r="F25" s="218" t="e">
        <f t="shared" si="10"/>
        <v>#REF!</v>
      </c>
      <c r="G25" s="218" t="e">
        <f t="shared" si="7"/>
        <v>#REF!</v>
      </c>
    </row>
    <row r="26" spans="1:7">
      <c r="A26" s="23" t="s">
        <v>7</v>
      </c>
      <c r="B26" s="222" t="e">
        <f>Mercado!#REF!</f>
        <v>#REF!</v>
      </c>
      <c r="C26" s="218" t="e">
        <f t="shared" si="6"/>
        <v>#REF!</v>
      </c>
      <c r="D26" s="218" t="e">
        <f t="shared" si="8"/>
        <v>#REF!</v>
      </c>
      <c r="E26" s="218" t="e">
        <f t="shared" si="9"/>
        <v>#REF!</v>
      </c>
      <c r="F26" s="218" t="e">
        <f t="shared" si="10"/>
        <v>#REF!</v>
      </c>
      <c r="G26" s="218" t="e">
        <f t="shared" si="7"/>
        <v>#REF!</v>
      </c>
    </row>
    <row r="27" spans="1:7">
      <c r="A27" s="23" t="s">
        <v>8</v>
      </c>
      <c r="B27" s="222" t="e">
        <f>Mercado!#REF!</f>
        <v>#REF!</v>
      </c>
      <c r="C27" s="218" t="e">
        <f t="shared" si="6"/>
        <v>#REF!</v>
      </c>
      <c r="D27" s="218" t="e">
        <f t="shared" si="8"/>
        <v>#REF!</v>
      </c>
      <c r="E27" s="218" t="e">
        <f t="shared" si="9"/>
        <v>#REF!</v>
      </c>
      <c r="F27" s="218" t="e">
        <f t="shared" si="10"/>
        <v>#REF!</v>
      </c>
      <c r="G27" s="218" t="e">
        <f t="shared" si="7"/>
        <v>#REF!</v>
      </c>
    </row>
    <row r="28" spans="1:7">
      <c r="A28" s="23" t="s">
        <v>9</v>
      </c>
      <c r="B28" s="222" t="e">
        <f>Mercado!#REF!</f>
        <v>#REF!</v>
      </c>
      <c r="C28" s="218" t="e">
        <f t="shared" si="6"/>
        <v>#REF!</v>
      </c>
      <c r="D28" s="218" t="e">
        <f t="shared" si="8"/>
        <v>#REF!</v>
      </c>
      <c r="E28" s="218" t="e">
        <f t="shared" si="9"/>
        <v>#REF!</v>
      </c>
      <c r="F28" s="218" t="e">
        <f t="shared" si="10"/>
        <v>#REF!</v>
      </c>
      <c r="G28" s="218" t="e">
        <f t="shared" si="7"/>
        <v>#REF!</v>
      </c>
    </row>
    <row r="29" spans="1:7">
      <c r="A29" s="23" t="s">
        <v>10</v>
      </c>
      <c r="B29" s="222" t="e">
        <f>Mercado!#REF!</f>
        <v>#REF!</v>
      </c>
      <c r="C29" s="218" t="e">
        <f t="shared" si="6"/>
        <v>#REF!</v>
      </c>
      <c r="D29" s="218" t="e">
        <f t="shared" si="8"/>
        <v>#REF!</v>
      </c>
      <c r="E29" s="218" t="e">
        <f t="shared" si="9"/>
        <v>#REF!</v>
      </c>
      <c r="F29" s="218" t="e">
        <f t="shared" si="10"/>
        <v>#REF!</v>
      </c>
      <c r="G29" s="218" t="e">
        <f t="shared" si="7"/>
        <v>#REF!</v>
      </c>
    </row>
    <row r="30" spans="1:7">
      <c r="A30" s="23" t="s">
        <v>11</v>
      </c>
      <c r="B30" s="222" t="e">
        <f>Mercado!#REF!</f>
        <v>#REF!</v>
      </c>
      <c r="C30" s="218" t="e">
        <f t="shared" si="6"/>
        <v>#REF!</v>
      </c>
      <c r="D30" s="218" t="e">
        <f t="shared" si="8"/>
        <v>#REF!</v>
      </c>
      <c r="E30" s="218" t="e">
        <f t="shared" si="9"/>
        <v>#REF!</v>
      </c>
      <c r="F30" s="218" t="e">
        <f t="shared" si="10"/>
        <v>#REF!</v>
      </c>
      <c r="G30" s="218" t="e">
        <f t="shared" si="7"/>
        <v>#REF!</v>
      </c>
    </row>
    <row r="31" spans="1:7">
      <c r="A31" s="23" t="s">
        <v>12</v>
      </c>
      <c r="B31" s="222" t="e">
        <f>Mercado!#REF!</f>
        <v>#REF!</v>
      </c>
      <c r="C31" s="218" t="e">
        <f t="shared" si="6"/>
        <v>#REF!</v>
      </c>
      <c r="D31" s="218" t="e">
        <f>B31*7.6/100</f>
        <v>#REF!</v>
      </c>
      <c r="E31" s="218" t="e">
        <f t="shared" si="9"/>
        <v>#REF!</v>
      </c>
      <c r="F31" s="218" t="e">
        <f t="shared" si="10"/>
        <v>#REF!</v>
      </c>
      <c r="G31" s="218" t="e">
        <f t="shared" si="7"/>
        <v>#REF!</v>
      </c>
    </row>
    <row r="32" spans="1:7">
      <c r="A32" s="219" t="s">
        <v>13</v>
      </c>
      <c r="B32" s="220" t="e">
        <f>SUM(B20:B31)</f>
        <v>#REF!</v>
      </c>
      <c r="C32" s="225" t="e">
        <f t="shared" si="6"/>
        <v>#REF!</v>
      </c>
      <c r="D32" s="220" t="e">
        <f>SUM(D20:D31)</f>
        <v>#REF!</v>
      </c>
      <c r="E32" s="220" t="e">
        <f t="shared" ref="E32" si="11">B32*3/100</f>
        <v>#REF!</v>
      </c>
      <c r="F32" s="220" t="e">
        <f>SUM(F20:F31)</f>
        <v>#REF!</v>
      </c>
      <c r="G32" s="220" t="e">
        <f>SUM(G20:G31)</f>
        <v>#REF!</v>
      </c>
    </row>
    <row r="36" spans="1:22">
      <c r="A36" s="217" t="s">
        <v>57</v>
      </c>
      <c r="B36" s="224" t="s">
        <v>353</v>
      </c>
      <c r="C36" s="224" t="s">
        <v>354</v>
      </c>
      <c r="D36" s="224" t="s">
        <v>355</v>
      </c>
      <c r="E36" s="224" t="s">
        <v>362</v>
      </c>
      <c r="F36" s="224" t="s">
        <v>356</v>
      </c>
      <c r="G36" s="224" t="s">
        <v>357</v>
      </c>
      <c r="I36" s="261" t="s">
        <v>356</v>
      </c>
      <c r="J36" s="261">
        <v>55753.310456719388</v>
      </c>
      <c r="K36" s="261">
        <v>55753.310456719388</v>
      </c>
      <c r="L36" s="261">
        <v>75062.947056464182</v>
      </c>
      <c r="M36" s="261">
        <v>148678.1809515481</v>
      </c>
      <c r="N36" s="261">
        <v>75062.947056464182</v>
      </c>
      <c r="O36" s="261">
        <v>55753.310456719388</v>
      </c>
      <c r="P36" s="261">
        <v>55753.310456719388</v>
      </c>
      <c r="Q36" s="261">
        <v>75062.947056464182</v>
      </c>
      <c r="R36" s="261">
        <v>55753.310456719388</v>
      </c>
      <c r="S36" s="261">
        <v>55753.310456719388</v>
      </c>
      <c r="T36" s="261">
        <v>55753.310456719388</v>
      </c>
      <c r="U36" s="261">
        <v>75062.947056464182</v>
      </c>
      <c r="V36" s="261">
        <v>839203.14237444033</v>
      </c>
    </row>
    <row r="37" spans="1:22">
      <c r="A37" s="23" t="s">
        <v>1</v>
      </c>
      <c r="B37" s="222" t="e">
        <f>Mercado!#REF!</f>
        <v>#REF!</v>
      </c>
      <c r="C37" s="218" t="e">
        <f t="shared" ref="C37:C48" si="12">B37*0.65/100</f>
        <v>#REF!</v>
      </c>
      <c r="D37" s="218" t="e">
        <f>B37*7.6/100</f>
        <v>#REF!</v>
      </c>
      <c r="E37" s="218" t="e">
        <f>B37*4/100</f>
        <v>#REF!</v>
      </c>
      <c r="F37" s="218" t="e">
        <f>SUM(C37:E37)</f>
        <v>#REF!</v>
      </c>
      <c r="G37" s="218" t="e">
        <f t="shared" ref="G37:G48" si="13">B37-F37</f>
        <v>#REF!</v>
      </c>
    </row>
    <row r="38" spans="1:22">
      <c r="A38" s="23" t="s">
        <v>2</v>
      </c>
      <c r="B38" s="222" t="e">
        <f>Mercado!#REF!</f>
        <v>#REF!</v>
      </c>
      <c r="C38" s="218" t="e">
        <f t="shared" si="12"/>
        <v>#REF!</v>
      </c>
      <c r="D38" s="218" t="e">
        <f t="shared" ref="D38:D48" si="14">B38*7.6/100</f>
        <v>#REF!</v>
      </c>
      <c r="E38" s="218" t="e">
        <f t="shared" ref="E38:E48" si="15">B38*4/100</f>
        <v>#REF!</v>
      </c>
      <c r="F38" s="218" t="e">
        <f t="shared" ref="F38:F48" si="16">SUM(C38:E38)</f>
        <v>#REF!</v>
      </c>
      <c r="G38" s="218" t="e">
        <f t="shared" si="13"/>
        <v>#REF!</v>
      </c>
    </row>
    <row r="39" spans="1:22">
      <c r="A39" s="23" t="s">
        <v>3</v>
      </c>
      <c r="B39" s="222" t="e">
        <f>Mercado!#REF!</f>
        <v>#REF!</v>
      </c>
      <c r="C39" s="218" t="e">
        <f t="shared" si="12"/>
        <v>#REF!</v>
      </c>
      <c r="D39" s="218" t="e">
        <f t="shared" si="14"/>
        <v>#REF!</v>
      </c>
      <c r="E39" s="218" t="e">
        <f>B39*4/100</f>
        <v>#REF!</v>
      </c>
      <c r="F39" s="218" t="e">
        <f t="shared" si="16"/>
        <v>#REF!</v>
      </c>
      <c r="G39" s="218" t="e">
        <f t="shared" si="13"/>
        <v>#REF!</v>
      </c>
    </row>
    <row r="40" spans="1:22">
      <c r="A40" s="23" t="s">
        <v>4</v>
      </c>
      <c r="B40" s="222" t="e">
        <f>Mercado!#REF!</f>
        <v>#REF!</v>
      </c>
      <c r="C40" s="218" t="e">
        <f t="shared" si="12"/>
        <v>#REF!</v>
      </c>
      <c r="D40" s="218" t="e">
        <f t="shared" si="14"/>
        <v>#REF!</v>
      </c>
      <c r="E40" s="218" t="e">
        <f t="shared" si="15"/>
        <v>#REF!</v>
      </c>
      <c r="F40" s="218" t="e">
        <f t="shared" si="16"/>
        <v>#REF!</v>
      </c>
      <c r="G40" s="218" t="e">
        <f t="shared" si="13"/>
        <v>#REF!</v>
      </c>
    </row>
    <row r="41" spans="1:22">
      <c r="A41" s="23" t="s">
        <v>5</v>
      </c>
      <c r="B41" s="222" t="e">
        <f>Mercado!#REF!</f>
        <v>#REF!</v>
      </c>
      <c r="C41" s="218" t="e">
        <f t="shared" si="12"/>
        <v>#REF!</v>
      </c>
      <c r="D41" s="218" t="e">
        <f t="shared" si="14"/>
        <v>#REF!</v>
      </c>
      <c r="E41" s="218" t="e">
        <f t="shared" si="15"/>
        <v>#REF!</v>
      </c>
      <c r="F41" s="218" t="e">
        <f t="shared" si="16"/>
        <v>#REF!</v>
      </c>
      <c r="G41" s="218" t="e">
        <f t="shared" si="13"/>
        <v>#REF!</v>
      </c>
    </row>
    <row r="42" spans="1:22">
      <c r="A42" s="23" t="s">
        <v>6</v>
      </c>
      <c r="B42" s="222" t="e">
        <f>Mercado!#REF!</f>
        <v>#REF!</v>
      </c>
      <c r="C42" s="218" t="e">
        <f t="shared" si="12"/>
        <v>#REF!</v>
      </c>
      <c r="D42" s="218" t="e">
        <f t="shared" si="14"/>
        <v>#REF!</v>
      </c>
      <c r="E42" s="218" t="e">
        <f t="shared" si="15"/>
        <v>#REF!</v>
      </c>
      <c r="F42" s="218" t="e">
        <f t="shared" si="16"/>
        <v>#REF!</v>
      </c>
      <c r="G42" s="218" t="e">
        <f t="shared" si="13"/>
        <v>#REF!</v>
      </c>
    </row>
    <row r="43" spans="1:22">
      <c r="A43" s="23" t="s">
        <v>7</v>
      </c>
      <c r="B43" s="222" t="e">
        <f>Mercado!#REF!</f>
        <v>#REF!</v>
      </c>
      <c r="C43" s="218" t="e">
        <f t="shared" si="12"/>
        <v>#REF!</v>
      </c>
      <c r="D43" s="218" t="e">
        <f t="shared" si="14"/>
        <v>#REF!</v>
      </c>
      <c r="E43" s="218" t="e">
        <f t="shared" si="15"/>
        <v>#REF!</v>
      </c>
      <c r="F43" s="218" t="e">
        <f t="shared" si="16"/>
        <v>#REF!</v>
      </c>
      <c r="G43" s="218" t="e">
        <f t="shared" si="13"/>
        <v>#REF!</v>
      </c>
    </row>
    <row r="44" spans="1:22">
      <c r="A44" s="23" t="s">
        <v>8</v>
      </c>
      <c r="B44" s="222" t="e">
        <f>Mercado!#REF!</f>
        <v>#REF!</v>
      </c>
      <c r="C44" s="218" t="e">
        <f t="shared" si="12"/>
        <v>#REF!</v>
      </c>
      <c r="D44" s="218" t="e">
        <f t="shared" si="14"/>
        <v>#REF!</v>
      </c>
      <c r="E44" s="218" t="e">
        <f t="shared" si="15"/>
        <v>#REF!</v>
      </c>
      <c r="F44" s="218" t="e">
        <f t="shared" si="16"/>
        <v>#REF!</v>
      </c>
      <c r="G44" s="218" t="e">
        <f t="shared" si="13"/>
        <v>#REF!</v>
      </c>
    </row>
    <row r="45" spans="1:22">
      <c r="A45" s="23" t="s">
        <v>9</v>
      </c>
      <c r="B45" s="222" t="e">
        <f>Mercado!#REF!</f>
        <v>#REF!</v>
      </c>
      <c r="C45" s="218" t="e">
        <f t="shared" si="12"/>
        <v>#REF!</v>
      </c>
      <c r="D45" s="218" t="e">
        <f t="shared" si="14"/>
        <v>#REF!</v>
      </c>
      <c r="E45" s="218" t="e">
        <f t="shared" si="15"/>
        <v>#REF!</v>
      </c>
      <c r="F45" s="218" t="e">
        <f t="shared" si="16"/>
        <v>#REF!</v>
      </c>
      <c r="G45" s="218" t="e">
        <f t="shared" si="13"/>
        <v>#REF!</v>
      </c>
    </row>
    <row r="46" spans="1:22">
      <c r="A46" s="23" t="s">
        <v>10</v>
      </c>
      <c r="B46" s="222" t="e">
        <f>Mercado!#REF!</f>
        <v>#REF!</v>
      </c>
      <c r="C46" s="218" t="e">
        <f t="shared" si="12"/>
        <v>#REF!</v>
      </c>
      <c r="D46" s="218" t="e">
        <f t="shared" si="14"/>
        <v>#REF!</v>
      </c>
      <c r="E46" s="218" t="e">
        <f t="shared" si="15"/>
        <v>#REF!</v>
      </c>
      <c r="F46" s="218" t="e">
        <f t="shared" si="16"/>
        <v>#REF!</v>
      </c>
      <c r="G46" s="218" t="e">
        <f t="shared" si="13"/>
        <v>#REF!</v>
      </c>
    </row>
    <row r="47" spans="1:22">
      <c r="A47" s="23" t="s">
        <v>11</v>
      </c>
      <c r="B47" s="222" t="e">
        <f>Mercado!#REF!</f>
        <v>#REF!</v>
      </c>
      <c r="C47" s="218" t="e">
        <f t="shared" si="12"/>
        <v>#REF!</v>
      </c>
      <c r="D47" s="218" t="e">
        <f t="shared" si="14"/>
        <v>#REF!</v>
      </c>
      <c r="E47" s="218" t="e">
        <f t="shared" si="15"/>
        <v>#REF!</v>
      </c>
      <c r="F47" s="218" t="e">
        <f t="shared" si="16"/>
        <v>#REF!</v>
      </c>
      <c r="G47" s="218" t="e">
        <f t="shared" si="13"/>
        <v>#REF!</v>
      </c>
    </row>
    <row r="48" spans="1:22">
      <c r="A48" s="23" t="s">
        <v>12</v>
      </c>
      <c r="B48" s="222" t="e">
        <f>Mercado!#REF!</f>
        <v>#REF!</v>
      </c>
      <c r="C48" s="218" t="e">
        <f t="shared" si="12"/>
        <v>#REF!</v>
      </c>
      <c r="D48" s="218" t="e">
        <f t="shared" si="14"/>
        <v>#REF!</v>
      </c>
      <c r="E48" s="218" t="e">
        <f t="shared" si="15"/>
        <v>#REF!</v>
      </c>
      <c r="F48" s="218" t="e">
        <f t="shared" si="16"/>
        <v>#REF!</v>
      </c>
      <c r="G48" s="218" t="e">
        <f t="shared" si="13"/>
        <v>#REF!</v>
      </c>
    </row>
    <row r="49" spans="1:23">
      <c r="A49" s="219" t="s">
        <v>13</v>
      </c>
      <c r="B49" s="223" t="e">
        <f t="shared" ref="B49:G49" si="17">SUM(B37:B48)</f>
        <v>#REF!</v>
      </c>
      <c r="C49" s="220" t="e">
        <f t="shared" si="17"/>
        <v>#REF!</v>
      </c>
      <c r="D49" s="220" t="e">
        <f t="shared" si="17"/>
        <v>#REF!</v>
      </c>
      <c r="E49" s="220" t="e">
        <f t="shared" si="17"/>
        <v>#REF!</v>
      </c>
      <c r="F49" s="220" t="e">
        <f t="shared" si="17"/>
        <v>#REF!</v>
      </c>
      <c r="G49" s="220" t="e">
        <f t="shared" si="17"/>
        <v>#REF!</v>
      </c>
    </row>
    <row r="52" spans="1:23">
      <c r="A52" s="217" t="s">
        <v>381</v>
      </c>
      <c r="B52" s="224" t="s">
        <v>353</v>
      </c>
      <c r="C52" s="224" t="s">
        <v>354</v>
      </c>
      <c r="D52" s="224" t="s">
        <v>355</v>
      </c>
      <c r="E52" s="224" t="s">
        <v>362</v>
      </c>
      <c r="F52" s="224" t="s">
        <v>356</v>
      </c>
      <c r="G52" s="224" t="s">
        <v>357</v>
      </c>
      <c r="I52" s="261" t="s">
        <v>356</v>
      </c>
      <c r="J52" s="261" t="s">
        <v>356</v>
      </c>
      <c r="K52" s="261">
        <v>59656.042188689753</v>
      </c>
      <c r="L52" s="261">
        <v>59656.042188689753</v>
      </c>
      <c r="M52" s="261">
        <v>80317.35335041667</v>
      </c>
      <c r="N52" s="261">
        <v>159085.6536181565</v>
      </c>
      <c r="O52" s="261">
        <v>80317.35335041667</v>
      </c>
      <c r="P52" s="261">
        <v>59656.042188689753</v>
      </c>
      <c r="Q52" s="261">
        <v>59656.042188689753</v>
      </c>
      <c r="R52" s="261">
        <v>80317.35335041667</v>
      </c>
      <c r="S52" s="261">
        <v>59656.042188689753</v>
      </c>
      <c r="T52" s="261">
        <v>59656.042188689753</v>
      </c>
      <c r="U52" s="261">
        <v>59656.042188689753</v>
      </c>
      <c r="V52" s="261">
        <v>80317.35335041667</v>
      </c>
      <c r="W52" s="261">
        <v>897947.36234065157</v>
      </c>
    </row>
    <row r="53" spans="1:23">
      <c r="A53" s="23" t="s">
        <v>1</v>
      </c>
      <c r="B53" s="222" t="e">
        <f>Mercado!#REF!</f>
        <v>#REF!</v>
      </c>
      <c r="C53" s="218" t="e">
        <f t="shared" ref="C53:C64" si="18">B53*0.65/100</f>
        <v>#REF!</v>
      </c>
      <c r="D53" s="218" t="e">
        <f>B53*7.6/100</f>
        <v>#REF!</v>
      </c>
      <c r="E53" s="218" t="e">
        <f>B53*4/100</f>
        <v>#REF!</v>
      </c>
      <c r="F53" s="218" t="e">
        <f>SUM(C53:E53)</f>
        <v>#REF!</v>
      </c>
      <c r="G53" s="218" t="e">
        <f t="shared" ref="G53:G64" si="19">B53-F53</f>
        <v>#REF!</v>
      </c>
      <c r="I53" s="261">
        <v>59656.042188689753</v>
      </c>
    </row>
    <row r="54" spans="1:23">
      <c r="A54" s="23" t="s">
        <v>2</v>
      </c>
      <c r="B54" s="222" t="e">
        <f>Mercado!#REF!</f>
        <v>#REF!</v>
      </c>
      <c r="C54" s="218" t="e">
        <f t="shared" si="18"/>
        <v>#REF!</v>
      </c>
      <c r="D54" s="218" t="e">
        <f t="shared" ref="D54:D64" si="20">B54*7.6/100</f>
        <v>#REF!</v>
      </c>
      <c r="E54" s="218" t="e">
        <f t="shared" ref="E54" si="21">B54*4/100</f>
        <v>#REF!</v>
      </c>
      <c r="F54" s="218" t="e">
        <f t="shared" ref="F54:F64" si="22">SUM(C54:E54)</f>
        <v>#REF!</v>
      </c>
      <c r="G54" s="218" t="e">
        <f t="shared" si="19"/>
        <v>#REF!</v>
      </c>
      <c r="I54" s="261">
        <v>59656.042188689753</v>
      </c>
    </row>
    <row r="55" spans="1:23">
      <c r="A55" s="23" t="s">
        <v>3</v>
      </c>
      <c r="B55" s="222" t="e">
        <f>Mercado!#REF!</f>
        <v>#REF!</v>
      </c>
      <c r="C55" s="218" t="e">
        <f t="shared" si="18"/>
        <v>#REF!</v>
      </c>
      <c r="D55" s="218" t="e">
        <f t="shared" si="20"/>
        <v>#REF!</v>
      </c>
      <c r="E55" s="218" t="e">
        <f>B55*4/100</f>
        <v>#REF!</v>
      </c>
      <c r="F55" s="218" t="e">
        <f t="shared" si="22"/>
        <v>#REF!</v>
      </c>
      <c r="G55" s="218" t="e">
        <f t="shared" si="19"/>
        <v>#REF!</v>
      </c>
      <c r="I55" s="261">
        <v>80317.35335041667</v>
      </c>
    </row>
    <row r="56" spans="1:23">
      <c r="A56" s="23" t="s">
        <v>4</v>
      </c>
      <c r="B56" s="222" t="e">
        <f>Mercado!#REF!</f>
        <v>#REF!</v>
      </c>
      <c r="C56" s="218" t="e">
        <f t="shared" si="18"/>
        <v>#REF!</v>
      </c>
      <c r="D56" s="218" t="e">
        <f t="shared" si="20"/>
        <v>#REF!</v>
      </c>
      <c r="E56" s="218" t="e">
        <f t="shared" ref="E56:E64" si="23">B56*4/100</f>
        <v>#REF!</v>
      </c>
      <c r="F56" s="218" t="e">
        <f t="shared" si="22"/>
        <v>#REF!</v>
      </c>
      <c r="G56" s="218" t="e">
        <f t="shared" si="19"/>
        <v>#REF!</v>
      </c>
      <c r="I56" s="261">
        <v>159085.6536181565</v>
      </c>
    </row>
    <row r="57" spans="1:23">
      <c r="A57" s="23" t="s">
        <v>5</v>
      </c>
      <c r="B57" s="222" t="e">
        <f>Mercado!#REF!</f>
        <v>#REF!</v>
      </c>
      <c r="C57" s="218" t="e">
        <f t="shared" si="18"/>
        <v>#REF!</v>
      </c>
      <c r="D57" s="218" t="e">
        <f t="shared" si="20"/>
        <v>#REF!</v>
      </c>
      <c r="E57" s="218" t="e">
        <f t="shared" si="23"/>
        <v>#REF!</v>
      </c>
      <c r="F57" s="218" t="e">
        <f t="shared" si="22"/>
        <v>#REF!</v>
      </c>
      <c r="G57" s="218" t="e">
        <f t="shared" si="19"/>
        <v>#REF!</v>
      </c>
      <c r="I57" s="261">
        <v>80317.35335041667</v>
      </c>
    </row>
    <row r="58" spans="1:23">
      <c r="A58" s="23" t="s">
        <v>6</v>
      </c>
      <c r="B58" s="222" t="e">
        <f>Mercado!#REF!</f>
        <v>#REF!</v>
      </c>
      <c r="C58" s="218" t="e">
        <f t="shared" si="18"/>
        <v>#REF!</v>
      </c>
      <c r="D58" s="218" t="e">
        <f t="shared" si="20"/>
        <v>#REF!</v>
      </c>
      <c r="E58" s="218" t="e">
        <f t="shared" si="23"/>
        <v>#REF!</v>
      </c>
      <c r="F58" s="218" t="e">
        <f t="shared" si="22"/>
        <v>#REF!</v>
      </c>
      <c r="G58" s="218" t="e">
        <f t="shared" si="19"/>
        <v>#REF!</v>
      </c>
      <c r="I58" s="261">
        <v>59656.042188689753</v>
      </c>
    </row>
    <row r="59" spans="1:23">
      <c r="A59" s="23" t="s">
        <v>7</v>
      </c>
      <c r="B59" s="222" t="e">
        <f>Mercado!#REF!</f>
        <v>#REF!</v>
      </c>
      <c r="C59" s="218" t="e">
        <f t="shared" si="18"/>
        <v>#REF!</v>
      </c>
      <c r="D59" s="218" t="e">
        <f t="shared" si="20"/>
        <v>#REF!</v>
      </c>
      <c r="E59" s="218" t="e">
        <f t="shared" si="23"/>
        <v>#REF!</v>
      </c>
      <c r="F59" s="218" t="e">
        <f t="shared" si="22"/>
        <v>#REF!</v>
      </c>
      <c r="G59" s="218" t="e">
        <f t="shared" si="19"/>
        <v>#REF!</v>
      </c>
      <c r="I59" s="261">
        <v>59656.042188689753</v>
      </c>
    </row>
    <row r="60" spans="1:23">
      <c r="A60" s="23" t="s">
        <v>8</v>
      </c>
      <c r="B60" s="222" t="e">
        <f>Mercado!#REF!</f>
        <v>#REF!</v>
      </c>
      <c r="C60" s="218" t="e">
        <f t="shared" si="18"/>
        <v>#REF!</v>
      </c>
      <c r="D60" s="218" t="e">
        <f t="shared" si="20"/>
        <v>#REF!</v>
      </c>
      <c r="E60" s="218" t="e">
        <f t="shared" si="23"/>
        <v>#REF!</v>
      </c>
      <c r="F60" s="218" t="e">
        <f t="shared" si="22"/>
        <v>#REF!</v>
      </c>
      <c r="G60" s="218" t="e">
        <f t="shared" si="19"/>
        <v>#REF!</v>
      </c>
      <c r="I60" s="261">
        <v>80317.35335041667</v>
      </c>
    </row>
    <row r="61" spans="1:23">
      <c r="A61" s="23" t="s">
        <v>9</v>
      </c>
      <c r="B61" s="222" t="e">
        <f>Mercado!#REF!</f>
        <v>#REF!</v>
      </c>
      <c r="C61" s="218" t="e">
        <f t="shared" si="18"/>
        <v>#REF!</v>
      </c>
      <c r="D61" s="218" t="e">
        <f t="shared" si="20"/>
        <v>#REF!</v>
      </c>
      <c r="E61" s="218" t="e">
        <f t="shared" si="23"/>
        <v>#REF!</v>
      </c>
      <c r="F61" s="218" t="e">
        <f t="shared" si="22"/>
        <v>#REF!</v>
      </c>
      <c r="G61" s="218" t="e">
        <f t="shared" si="19"/>
        <v>#REF!</v>
      </c>
      <c r="I61" s="261">
        <v>59656.042188689753</v>
      </c>
    </row>
    <row r="62" spans="1:23">
      <c r="A62" s="23" t="s">
        <v>10</v>
      </c>
      <c r="B62" s="222" t="e">
        <f>Mercado!#REF!</f>
        <v>#REF!</v>
      </c>
      <c r="C62" s="218" t="e">
        <f t="shared" si="18"/>
        <v>#REF!</v>
      </c>
      <c r="D62" s="218" t="e">
        <f t="shared" si="20"/>
        <v>#REF!</v>
      </c>
      <c r="E62" s="218" t="e">
        <f t="shared" si="23"/>
        <v>#REF!</v>
      </c>
      <c r="F62" s="218" t="e">
        <f t="shared" si="22"/>
        <v>#REF!</v>
      </c>
      <c r="G62" s="218" t="e">
        <f t="shared" si="19"/>
        <v>#REF!</v>
      </c>
      <c r="I62" s="261">
        <v>59656.042188689753</v>
      </c>
    </row>
    <row r="63" spans="1:23">
      <c r="A63" s="23" t="s">
        <v>11</v>
      </c>
      <c r="B63" s="222" t="e">
        <f>Mercado!#REF!</f>
        <v>#REF!</v>
      </c>
      <c r="C63" s="218" t="e">
        <f t="shared" si="18"/>
        <v>#REF!</v>
      </c>
      <c r="D63" s="218" t="e">
        <f t="shared" si="20"/>
        <v>#REF!</v>
      </c>
      <c r="E63" s="218" t="e">
        <f t="shared" si="23"/>
        <v>#REF!</v>
      </c>
      <c r="F63" s="218" t="e">
        <f t="shared" si="22"/>
        <v>#REF!</v>
      </c>
      <c r="G63" s="218" t="e">
        <f t="shared" si="19"/>
        <v>#REF!</v>
      </c>
      <c r="I63" s="261">
        <v>59656.042188689753</v>
      </c>
    </row>
    <row r="64" spans="1:23">
      <c r="A64" s="23" t="s">
        <v>12</v>
      </c>
      <c r="B64" s="222" t="e">
        <f>Mercado!#REF!</f>
        <v>#REF!</v>
      </c>
      <c r="C64" s="218" t="e">
        <f t="shared" si="18"/>
        <v>#REF!</v>
      </c>
      <c r="D64" s="218" t="e">
        <f t="shared" si="20"/>
        <v>#REF!</v>
      </c>
      <c r="E64" s="218" t="e">
        <f t="shared" si="23"/>
        <v>#REF!</v>
      </c>
      <c r="F64" s="218" t="e">
        <f t="shared" si="22"/>
        <v>#REF!</v>
      </c>
      <c r="G64" s="218" t="e">
        <f t="shared" si="19"/>
        <v>#REF!</v>
      </c>
      <c r="I64" s="261">
        <v>80317.35335041667</v>
      </c>
    </row>
    <row r="65" spans="1:23">
      <c r="A65" s="219" t="s">
        <v>13</v>
      </c>
      <c r="B65" s="223" t="e">
        <f t="shared" ref="B65:G65" si="24">SUM(B53:B64)</f>
        <v>#REF!</v>
      </c>
      <c r="C65" s="220" t="e">
        <f t="shared" si="24"/>
        <v>#REF!</v>
      </c>
      <c r="D65" s="220" t="e">
        <f t="shared" si="24"/>
        <v>#REF!</v>
      </c>
      <c r="E65" s="220" t="e">
        <f t="shared" si="24"/>
        <v>#REF!</v>
      </c>
      <c r="F65" s="220" t="e">
        <f t="shared" si="24"/>
        <v>#REF!</v>
      </c>
      <c r="G65" s="220" t="e">
        <f t="shared" si="24"/>
        <v>#REF!</v>
      </c>
      <c r="I65" s="261">
        <v>897947.36234065157</v>
      </c>
    </row>
    <row r="69" spans="1:23">
      <c r="A69" s="217" t="s">
        <v>382</v>
      </c>
      <c r="B69" s="224" t="s">
        <v>353</v>
      </c>
      <c r="C69" s="224" t="s">
        <v>354</v>
      </c>
      <c r="D69" s="224" t="s">
        <v>355</v>
      </c>
      <c r="E69" s="224" t="s">
        <v>362</v>
      </c>
      <c r="F69" s="224" t="s">
        <v>356</v>
      </c>
      <c r="G69" s="224" t="s">
        <v>357</v>
      </c>
      <c r="I69" s="261" t="s">
        <v>356</v>
      </c>
      <c r="J69" s="261" t="s">
        <v>356</v>
      </c>
      <c r="K69" s="261">
        <v>63831.965141898021</v>
      </c>
      <c r="L69" s="261">
        <v>63831.965141898021</v>
      </c>
      <c r="M69" s="261">
        <v>85939.568084945844</v>
      </c>
      <c r="N69" s="261">
        <v>170221.64937142743</v>
      </c>
      <c r="O69" s="261">
        <v>85939.568084945844</v>
      </c>
      <c r="P69" s="261">
        <v>63831.965141898021</v>
      </c>
      <c r="Q69" s="261">
        <v>63831.965141898021</v>
      </c>
      <c r="R69" s="261">
        <v>85939.568084945844</v>
      </c>
      <c r="S69" s="261">
        <v>63831.965141898021</v>
      </c>
      <c r="T69" s="261">
        <v>63831.965141898021</v>
      </c>
      <c r="U69" s="261">
        <v>63831.965141898021</v>
      </c>
      <c r="V69" s="261">
        <v>85939.568084945844</v>
      </c>
      <c r="W69" s="261">
        <v>960803.67770449701</v>
      </c>
    </row>
    <row r="70" spans="1:23">
      <c r="A70" s="23" t="s">
        <v>1</v>
      </c>
      <c r="B70" s="222" t="e">
        <f>Mercado!#REF!</f>
        <v>#REF!</v>
      </c>
      <c r="C70" s="218" t="e">
        <f t="shared" ref="C70:C81" si="25">B70*0.65/100</f>
        <v>#REF!</v>
      </c>
      <c r="D70" s="218" t="e">
        <f>B70*7.6/100</f>
        <v>#REF!</v>
      </c>
      <c r="E70" s="218" t="e">
        <f>B70*4/100</f>
        <v>#REF!</v>
      </c>
      <c r="F70" s="218" t="e">
        <f>SUM(C70:E70)</f>
        <v>#REF!</v>
      </c>
      <c r="G70" s="218" t="e">
        <f t="shared" ref="G70:G81" si="26">B70-F70</f>
        <v>#REF!</v>
      </c>
      <c r="I70" s="261">
        <v>63831.965141898021</v>
      </c>
    </row>
    <row r="71" spans="1:23">
      <c r="A71" s="23" t="s">
        <v>2</v>
      </c>
      <c r="B71" s="222" t="e">
        <f>Mercado!#REF!</f>
        <v>#REF!</v>
      </c>
      <c r="C71" s="218" t="e">
        <f t="shared" si="25"/>
        <v>#REF!</v>
      </c>
      <c r="D71" s="218" t="e">
        <f t="shared" ref="D71:D81" si="27">B71*7.6/100</f>
        <v>#REF!</v>
      </c>
      <c r="E71" s="218" t="e">
        <f t="shared" ref="E71" si="28">B71*4/100</f>
        <v>#REF!</v>
      </c>
      <c r="F71" s="218" t="e">
        <f t="shared" ref="F71:F81" si="29">SUM(C71:E71)</f>
        <v>#REF!</v>
      </c>
      <c r="G71" s="218" t="e">
        <f t="shared" si="26"/>
        <v>#REF!</v>
      </c>
      <c r="I71" s="261">
        <v>63831.965141898021</v>
      </c>
    </row>
    <row r="72" spans="1:23">
      <c r="A72" s="23" t="s">
        <v>3</v>
      </c>
      <c r="B72" s="222" t="e">
        <f>Mercado!#REF!</f>
        <v>#REF!</v>
      </c>
      <c r="C72" s="218" t="e">
        <f t="shared" si="25"/>
        <v>#REF!</v>
      </c>
      <c r="D72" s="218" t="e">
        <f t="shared" si="27"/>
        <v>#REF!</v>
      </c>
      <c r="E72" s="218" t="e">
        <f>B72*4/100</f>
        <v>#REF!</v>
      </c>
      <c r="F72" s="218" t="e">
        <f t="shared" si="29"/>
        <v>#REF!</v>
      </c>
      <c r="G72" s="218" t="e">
        <f t="shared" si="26"/>
        <v>#REF!</v>
      </c>
      <c r="I72" s="261">
        <v>85939.568084945844</v>
      </c>
    </row>
    <row r="73" spans="1:23">
      <c r="A73" s="23" t="s">
        <v>4</v>
      </c>
      <c r="B73" s="222" t="e">
        <f>Mercado!#REF!</f>
        <v>#REF!</v>
      </c>
      <c r="C73" s="218" t="e">
        <f t="shared" si="25"/>
        <v>#REF!</v>
      </c>
      <c r="D73" s="218" t="e">
        <f t="shared" si="27"/>
        <v>#REF!</v>
      </c>
      <c r="E73" s="218" t="e">
        <f t="shared" ref="E73:E81" si="30">B73*4/100</f>
        <v>#REF!</v>
      </c>
      <c r="F73" s="218" t="e">
        <f t="shared" si="29"/>
        <v>#REF!</v>
      </c>
      <c r="G73" s="218" t="e">
        <f t="shared" si="26"/>
        <v>#REF!</v>
      </c>
      <c r="I73" s="261">
        <v>170221.64937142743</v>
      </c>
    </row>
    <row r="74" spans="1:23">
      <c r="A74" s="23" t="s">
        <v>5</v>
      </c>
      <c r="B74" s="222" t="e">
        <f>Mercado!#REF!</f>
        <v>#REF!</v>
      </c>
      <c r="C74" s="218" t="e">
        <f t="shared" si="25"/>
        <v>#REF!</v>
      </c>
      <c r="D74" s="218" t="e">
        <f t="shared" si="27"/>
        <v>#REF!</v>
      </c>
      <c r="E74" s="218" t="e">
        <f t="shared" si="30"/>
        <v>#REF!</v>
      </c>
      <c r="F74" s="218" t="e">
        <f t="shared" si="29"/>
        <v>#REF!</v>
      </c>
      <c r="G74" s="218" t="e">
        <f t="shared" si="26"/>
        <v>#REF!</v>
      </c>
      <c r="I74" s="261">
        <v>85939.568084945844</v>
      </c>
    </row>
    <row r="75" spans="1:23">
      <c r="A75" s="23" t="s">
        <v>6</v>
      </c>
      <c r="B75" s="222" t="e">
        <f>Mercado!#REF!</f>
        <v>#REF!</v>
      </c>
      <c r="C75" s="218" t="e">
        <f t="shared" si="25"/>
        <v>#REF!</v>
      </c>
      <c r="D75" s="218" t="e">
        <f t="shared" si="27"/>
        <v>#REF!</v>
      </c>
      <c r="E75" s="218" t="e">
        <f t="shared" si="30"/>
        <v>#REF!</v>
      </c>
      <c r="F75" s="218" t="e">
        <f t="shared" si="29"/>
        <v>#REF!</v>
      </c>
      <c r="G75" s="218" t="e">
        <f t="shared" si="26"/>
        <v>#REF!</v>
      </c>
      <c r="I75" s="261">
        <v>63831.965141898021</v>
      </c>
    </row>
    <row r="76" spans="1:23">
      <c r="A76" s="23" t="s">
        <v>7</v>
      </c>
      <c r="B76" s="222" t="e">
        <f>Mercado!#REF!</f>
        <v>#REF!</v>
      </c>
      <c r="C76" s="218" t="e">
        <f t="shared" si="25"/>
        <v>#REF!</v>
      </c>
      <c r="D76" s="218" t="e">
        <f t="shared" si="27"/>
        <v>#REF!</v>
      </c>
      <c r="E76" s="218" t="e">
        <f t="shared" si="30"/>
        <v>#REF!</v>
      </c>
      <c r="F76" s="218" t="e">
        <f t="shared" si="29"/>
        <v>#REF!</v>
      </c>
      <c r="G76" s="218" t="e">
        <f t="shared" si="26"/>
        <v>#REF!</v>
      </c>
      <c r="I76" s="261">
        <v>63831.965141898021</v>
      </c>
    </row>
    <row r="77" spans="1:23">
      <c r="A77" s="23" t="s">
        <v>8</v>
      </c>
      <c r="B77" s="222" t="e">
        <f>Mercado!#REF!</f>
        <v>#REF!</v>
      </c>
      <c r="C77" s="218" t="e">
        <f t="shared" si="25"/>
        <v>#REF!</v>
      </c>
      <c r="D77" s="218" t="e">
        <f t="shared" si="27"/>
        <v>#REF!</v>
      </c>
      <c r="E77" s="218" t="e">
        <f t="shared" si="30"/>
        <v>#REF!</v>
      </c>
      <c r="F77" s="218" t="e">
        <f t="shared" si="29"/>
        <v>#REF!</v>
      </c>
      <c r="G77" s="218" t="e">
        <f t="shared" si="26"/>
        <v>#REF!</v>
      </c>
      <c r="I77" s="261">
        <v>85939.568084945844</v>
      </c>
    </row>
    <row r="78" spans="1:23">
      <c r="A78" s="23" t="s">
        <v>9</v>
      </c>
      <c r="B78" s="222" t="e">
        <f>Mercado!#REF!</f>
        <v>#REF!</v>
      </c>
      <c r="C78" s="218" t="e">
        <f t="shared" si="25"/>
        <v>#REF!</v>
      </c>
      <c r="D78" s="218" t="e">
        <f t="shared" si="27"/>
        <v>#REF!</v>
      </c>
      <c r="E78" s="218" t="e">
        <f t="shared" si="30"/>
        <v>#REF!</v>
      </c>
      <c r="F78" s="218" t="e">
        <f t="shared" si="29"/>
        <v>#REF!</v>
      </c>
      <c r="G78" s="218" t="e">
        <f t="shared" si="26"/>
        <v>#REF!</v>
      </c>
      <c r="I78" s="261">
        <v>63831.965141898021</v>
      </c>
    </row>
    <row r="79" spans="1:23">
      <c r="A79" s="23" t="s">
        <v>10</v>
      </c>
      <c r="B79" s="222" t="e">
        <f>Mercado!#REF!</f>
        <v>#REF!</v>
      </c>
      <c r="C79" s="218" t="e">
        <f t="shared" si="25"/>
        <v>#REF!</v>
      </c>
      <c r="D79" s="218" t="e">
        <f t="shared" si="27"/>
        <v>#REF!</v>
      </c>
      <c r="E79" s="218" t="e">
        <f t="shared" si="30"/>
        <v>#REF!</v>
      </c>
      <c r="F79" s="218" t="e">
        <f t="shared" si="29"/>
        <v>#REF!</v>
      </c>
      <c r="G79" s="218" t="e">
        <f t="shared" si="26"/>
        <v>#REF!</v>
      </c>
      <c r="I79" s="261">
        <v>63831.965141898021</v>
      </c>
    </row>
    <row r="80" spans="1:23">
      <c r="A80" s="23" t="s">
        <v>11</v>
      </c>
      <c r="B80" s="222" t="e">
        <f>Mercado!#REF!</f>
        <v>#REF!</v>
      </c>
      <c r="C80" s="218" t="e">
        <f t="shared" si="25"/>
        <v>#REF!</v>
      </c>
      <c r="D80" s="218" t="e">
        <f t="shared" si="27"/>
        <v>#REF!</v>
      </c>
      <c r="E80" s="218" t="e">
        <f t="shared" si="30"/>
        <v>#REF!</v>
      </c>
      <c r="F80" s="218" t="e">
        <f t="shared" si="29"/>
        <v>#REF!</v>
      </c>
      <c r="G80" s="218" t="e">
        <f t="shared" si="26"/>
        <v>#REF!</v>
      </c>
      <c r="I80" s="261">
        <v>63831.965141898021</v>
      </c>
    </row>
    <row r="81" spans="1:9">
      <c r="A81" s="23" t="s">
        <v>12</v>
      </c>
      <c r="B81" s="222" t="e">
        <f>Mercado!#REF!</f>
        <v>#REF!</v>
      </c>
      <c r="C81" s="218" t="e">
        <f t="shared" si="25"/>
        <v>#REF!</v>
      </c>
      <c r="D81" s="218" t="e">
        <f t="shared" si="27"/>
        <v>#REF!</v>
      </c>
      <c r="E81" s="218" t="e">
        <f t="shared" si="30"/>
        <v>#REF!</v>
      </c>
      <c r="F81" s="218" t="e">
        <f t="shared" si="29"/>
        <v>#REF!</v>
      </c>
      <c r="G81" s="218" t="e">
        <f t="shared" si="26"/>
        <v>#REF!</v>
      </c>
      <c r="I81" s="261">
        <v>85939.568084945844</v>
      </c>
    </row>
    <row r="82" spans="1:9">
      <c r="A82" s="219" t="s">
        <v>13</v>
      </c>
      <c r="B82" s="223" t="e">
        <f t="shared" ref="B82:G82" si="31">SUM(B70:B81)</f>
        <v>#REF!</v>
      </c>
      <c r="C82" s="220" t="e">
        <f t="shared" si="31"/>
        <v>#REF!</v>
      </c>
      <c r="D82" s="220" t="e">
        <f t="shared" si="31"/>
        <v>#REF!</v>
      </c>
      <c r="E82" s="220" t="e">
        <f t="shared" si="31"/>
        <v>#REF!</v>
      </c>
      <c r="F82" s="220" t="e">
        <f t="shared" si="31"/>
        <v>#REF!</v>
      </c>
      <c r="G82" s="220" t="e">
        <f t="shared" si="31"/>
        <v>#REF!</v>
      </c>
      <c r="I82" s="261">
        <v>960803.67770449701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3"/>
  <dimension ref="A1:L39"/>
  <sheetViews>
    <sheetView workbookViewId="0">
      <selection activeCell="C11" sqref="C11"/>
    </sheetView>
  </sheetViews>
  <sheetFormatPr defaultColWidth="8.7109375" defaultRowHeight="15"/>
  <cols>
    <col min="1" max="1" width="11.85546875" bestFit="1" customWidth="1"/>
    <col min="2" max="2" width="16.42578125" bestFit="1" customWidth="1"/>
    <col min="3" max="3" width="19" bestFit="1" customWidth="1"/>
    <col min="4" max="4" width="19" customWidth="1"/>
    <col min="5" max="7" width="14.28515625" bestFit="1" customWidth="1"/>
    <col min="8" max="8" width="13.28515625" bestFit="1" customWidth="1"/>
    <col min="9" max="9" width="15.85546875" bestFit="1" customWidth="1"/>
    <col min="10" max="10" width="13.28515625" bestFit="1" customWidth="1"/>
    <col min="11" max="11" width="14.28515625" bestFit="1" customWidth="1"/>
  </cols>
  <sheetData>
    <row r="1" spans="1:12">
      <c r="A1" s="39" t="s">
        <v>55</v>
      </c>
      <c r="B1" s="39" t="s">
        <v>353</v>
      </c>
      <c r="C1" s="39" t="s">
        <v>358</v>
      </c>
      <c r="D1" s="39" t="s">
        <v>359</v>
      </c>
      <c r="E1" s="216" t="s">
        <v>360</v>
      </c>
      <c r="F1" s="224" t="s">
        <v>361</v>
      </c>
      <c r="G1" s="216" t="s">
        <v>22</v>
      </c>
    </row>
    <row r="2" spans="1:12">
      <c r="A2" s="23" t="s">
        <v>30</v>
      </c>
      <c r="B2" s="218" t="e">
        <f>SUM(impostos!B3:B5)</f>
        <v>#REF!</v>
      </c>
      <c r="C2" s="218" t="e">
        <f>B2*0.32</f>
        <v>#REF!</v>
      </c>
      <c r="D2" s="226">
        <f>K2*10/100</f>
        <v>10425.824000000001</v>
      </c>
      <c r="E2" s="226" t="e">
        <f>C2*0.15</f>
        <v>#REF!</v>
      </c>
      <c r="F2" s="218" t="e">
        <f>C2*0.09</f>
        <v>#REF!</v>
      </c>
      <c r="G2" s="218" t="e">
        <f>SUM(D2:F2)</f>
        <v>#REF!</v>
      </c>
      <c r="H2" s="114"/>
      <c r="I2" s="114" t="e">
        <f>B2*0.32</f>
        <v>#REF!</v>
      </c>
      <c r="J2" s="114">
        <v>60000</v>
      </c>
      <c r="K2" s="226">
        <v>104258.24000000001</v>
      </c>
    </row>
    <row r="3" spans="1:12">
      <c r="A3" s="23" t="s">
        <v>31</v>
      </c>
      <c r="B3" s="218" t="e">
        <f>SUM(impostos!B6:B8)</f>
        <v>#REF!</v>
      </c>
      <c r="C3" s="218" t="e">
        <f t="shared" ref="C3:C5" si="0">B3*0.32</f>
        <v>#REF!</v>
      </c>
      <c r="D3" s="226">
        <f t="shared" ref="D3:D4" si="1">K3*10/100</f>
        <v>12020.832000000002</v>
      </c>
      <c r="E3" s="226" t="e">
        <f t="shared" ref="E3:E5" si="2">C3*0.15</f>
        <v>#REF!</v>
      </c>
      <c r="F3" s="218" t="e">
        <f t="shared" ref="F3:F5" si="3">C3*0.09</f>
        <v>#REF!</v>
      </c>
      <c r="G3" s="218" t="e">
        <f t="shared" ref="G3:G5" si="4">SUM(D3:F3)</f>
        <v>#REF!</v>
      </c>
      <c r="I3" s="114" t="e">
        <f>C3</f>
        <v>#REF!</v>
      </c>
      <c r="J3" s="114">
        <v>60000</v>
      </c>
      <c r="K3" s="226">
        <v>120208.32000000001</v>
      </c>
    </row>
    <row r="4" spans="1:12">
      <c r="A4" s="23" t="s">
        <v>32</v>
      </c>
      <c r="B4" s="218" t="e">
        <f>SUM(impostos!B9:B11)</f>
        <v>#REF!</v>
      </c>
      <c r="C4" s="218" t="e">
        <f t="shared" si="0"/>
        <v>#REF!</v>
      </c>
      <c r="D4" s="226">
        <f t="shared" si="1"/>
        <v>12436.832000000002</v>
      </c>
      <c r="E4" s="226" t="e">
        <f t="shared" si="2"/>
        <v>#REF!</v>
      </c>
      <c r="F4" s="218" t="e">
        <f t="shared" si="3"/>
        <v>#REF!</v>
      </c>
      <c r="G4" s="218" t="e">
        <f t="shared" si="4"/>
        <v>#REF!</v>
      </c>
      <c r="I4" s="114" t="e">
        <f>C4</f>
        <v>#REF!</v>
      </c>
      <c r="J4" s="114">
        <v>60000</v>
      </c>
      <c r="K4" s="226">
        <v>124368.32000000001</v>
      </c>
    </row>
    <row r="5" spans="1:12">
      <c r="A5" s="23" t="s">
        <v>33</v>
      </c>
      <c r="B5" s="218" t="e">
        <f>SUM(impostos!B12:B14)</f>
        <v>#REF!</v>
      </c>
      <c r="C5" s="218" t="e">
        <f t="shared" si="0"/>
        <v>#REF!</v>
      </c>
      <c r="D5" s="226">
        <f>K5*10/100</f>
        <v>12500.832000000002</v>
      </c>
      <c r="E5" s="226" t="e">
        <f t="shared" si="2"/>
        <v>#REF!</v>
      </c>
      <c r="F5" s="218" t="e">
        <f t="shared" si="3"/>
        <v>#REF!</v>
      </c>
      <c r="G5" s="218" t="e">
        <f t="shared" si="4"/>
        <v>#REF!</v>
      </c>
      <c r="I5" s="114" t="e">
        <f>C5</f>
        <v>#REF!</v>
      </c>
      <c r="J5" s="114">
        <v>60000</v>
      </c>
      <c r="K5" s="226">
        <v>125008.32000000001</v>
      </c>
    </row>
    <row r="6" spans="1:12">
      <c r="A6" s="219" t="s">
        <v>13</v>
      </c>
      <c r="B6" s="220" t="e">
        <f>SUM(B2:B5)</f>
        <v>#REF!</v>
      </c>
      <c r="C6" s="220">
        <v>713843.19999999995</v>
      </c>
      <c r="D6" s="227">
        <f>SUM(D2:D5)</f>
        <v>47384.320000000007</v>
      </c>
      <c r="E6" s="227">
        <v>107076.48000000001</v>
      </c>
      <c r="F6" s="220">
        <v>64245.888000000006</v>
      </c>
      <c r="G6" s="220">
        <f>SUM(D6:F6)</f>
        <v>218706.68800000002</v>
      </c>
    </row>
    <row r="7" spans="1:12">
      <c r="A7" s="538"/>
      <c r="B7" s="538"/>
      <c r="C7" s="538"/>
      <c r="D7" s="538"/>
      <c r="E7" s="538"/>
      <c r="F7" s="538"/>
      <c r="G7" s="538"/>
    </row>
    <row r="8" spans="1:12">
      <c r="A8" s="487"/>
      <c r="B8" s="487"/>
      <c r="C8" s="487"/>
      <c r="D8" s="487"/>
      <c r="E8" s="487"/>
      <c r="F8" s="487"/>
      <c r="G8" s="487"/>
      <c r="I8" s="114"/>
    </row>
    <row r="9" spans="1:12">
      <c r="A9" s="487"/>
      <c r="B9" s="487"/>
      <c r="C9" s="487"/>
      <c r="D9" s="487"/>
      <c r="E9" s="487"/>
      <c r="F9" s="487"/>
      <c r="G9" s="487"/>
    </row>
    <row r="10" spans="1:12">
      <c r="A10" s="39" t="s">
        <v>56</v>
      </c>
      <c r="B10" s="39" t="s">
        <v>353</v>
      </c>
      <c r="C10" s="39" t="s">
        <v>358</v>
      </c>
      <c r="D10" s="39" t="s">
        <v>359</v>
      </c>
      <c r="E10" s="216" t="s">
        <v>360</v>
      </c>
      <c r="F10" s="224" t="s">
        <v>361</v>
      </c>
      <c r="G10" s="216" t="s">
        <v>22</v>
      </c>
    </row>
    <row r="11" spans="1:12">
      <c r="A11" s="23" t="s">
        <v>30</v>
      </c>
      <c r="B11" s="218" t="e">
        <f>SUM(impostos!B20:B22)</f>
        <v>#REF!</v>
      </c>
      <c r="C11" s="218" t="e">
        <f>B11*0.32</f>
        <v>#REF!</v>
      </c>
      <c r="D11" s="226" t="e">
        <f>K11*10/100</f>
        <v>#REF!</v>
      </c>
      <c r="E11" s="226" t="e">
        <f>C11*0.15</f>
        <v>#REF!</v>
      </c>
      <c r="F11" s="218" t="e">
        <f>C11*0.09</f>
        <v>#REF!</v>
      </c>
      <c r="G11" s="218" t="e">
        <f>SUM(D11:F11)</f>
        <v>#REF!</v>
      </c>
      <c r="I11" s="114" t="e">
        <f>B11*0.32</f>
        <v>#REF!</v>
      </c>
      <c r="J11" s="228">
        <v>60000</v>
      </c>
      <c r="K11" s="107" t="e">
        <f>I11-J11</f>
        <v>#REF!</v>
      </c>
      <c r="L11">
        <v>0.32</v>
      </c>
    </row>
    <row r="12" spans="1:12">
      <c r="A12" s="23" t="s">
        <v>31</v>
      </c>
      <c r="B12" s="218" t="e">
        <f>SUM(impostos!B23:B25)</f>
        <v>#REF!</v>
      </c>
      <c r="C12" s="218" t="e">
        <f t="shared" ref="C12:C14" si="5">B12*0.32</f>
        <v>#REF!</v>
      </c>
      <c r="D12" s="226" t="e">
        <f>K12*10/100</f>
        <v>#REF!</v>
      </c>
      <c r="E12" s="226" t="e">
        <f t="shared" ref="E12:E14" si="6">C12*0.15</f>
        <v>#REF!</v>
      </c>
      <c r="F12" s="218" t="e">
        <f t="shared" ref="F12:F14" si="7">C12*0.09</f>
        <v>#REF!</v>
      </c>
      <c r="G12" s="218" t="e">
        <f t="shared" ref="G12:G14" si="8">SUM(D12:F12)</f>
        <v>#REF!</v>
      </c>
      <c r="I12" s="114" t="e">
        <f>C12</f>
        <v>#REF!</v>
      </c>
      <c r="J12" s="228">
        <v>60000</v>
      </c>
      <c r="K12" s="107" t="e">
        <f>I12-J12</f>
        <v>#REF!</v>
      </c>
      <c r="L12">
        <v>0.32</v>
      </c>
    </row>
    <row r="13" spans="1:12">
      <c r="A13" s="23" t="s">
        <v>32</v>
      </c>
      <c r="B13" s="218" t="e">
        <f>SUM(impostos!B26:B28)</f>
        <v>#REF!</v>
      </c>
      <c r="C13" s="218" t="e">
        <f t="shared" si="5"/>
        <v>#REF!</v>
      </c>
      <c r="D13" s="226" t="e">
        <f>K13*10/100</f>
        <v>#REF!</v>
      </c>
      <c r="E13" s="226" t="e">
        <f t="shared" si="6"/>
        <v>#REF!</v>
      </c>
      <c r="F13" s="218" t="e">
        <f t="shared" si="7"/>
        <v>#REF!</v>
      </c>
      <c r="G13" s="218" t="e">
        <f t="shared" si="8"/>
        <v>#REF!</v>
      </c>
      <c r="I13" s="114" t="e">
        <f>C13</f>
        <v>#REF!</v>
      </c>
      <c r="J13" s="228">
        <v>60000</v>
      </c>
      <c r="K13" s="107" t="e">
        <f>I13-J13</f>
        <v>#REF!</v>
      </c>
      <c r="L13">
        <v>0.32</v>
      </c>
    </row>
    <row r="14" spans="1:12">
      <c r="A14" s="23" t="s">
        <v>33</v>
      </c>
      <c r="B14" s="218" t="e">
        <f>SUM(impostos!B29:B31)</f>
        <v>#REF!</v>
      </c>
      <c r="C14" s="218" t="e">
        <f t="shared" si="5"/>
        <v>#REF!</v>
      </c>
      <c r="D14" s="226" t="e">
        <f>K14*10/100</f>
        <v>#REF!</v>
      </c>
      <c r="E14" s="226" t="e">
        <f t="shared" si="6"/>
        <v>#REF!</v>
      </c>
      <c r="F14" s="218" t="e">
        <f t="shared" si="7"/>
        <v>#REF!</v>
      </c>
      <c r="G14" s="218" t="e">
        <f t="shared" si="8"/>
        <v>#REF!</v>
      </c>
      <c r="I14" s="114" t="e">
        <f>C14</f>
        <v>#REF!</v>
      </c>
      <c r="J14" s="228">
        <v>60000</v>
      </c>
      <c r="K14" s="107" t="e">
        <f>I14-J14</f>
        <v>#REF!</v>
      </c>
      <c r="L14">
        <v>0.32</v>
      </c>
    </row>
    <row r="15" spans="1:12">
      <c r="A15" s="219" t="s">
        <v>13</v>
      </c>
      <c r="B15" s="220" t="e">
        <f>SUM(B11:B14)</f>
        <v>#REF!</v>
      </c>
      <c r="C15" s="220" t="e">
        <f>SUM(C11:C14)</f>
        <v>#REF!</v>
      </c>
      <c r="D15" s="227" t="e">
        <f>SUM(D11:D14)</f>
        <v>#REF!</v>
      </c>
      <c r="E15" s="227" t="e">
        <f>SUM(E11:E14)</f>
        <v>#REF!</v>
      </c>
      <c r="F15" s="220" t="e">
        <f>SUM(F11:F14)</f>
        <v>#REF!</v>
      </c>
      <c r="G15" s="220" t="e">
        <f>SUM(D15:F15)</f>
        <v>#REF!</v>
      </c>
    </row>
    <row r="16" spans="1:12">
      <c r="A16" s="571"/>
      <c r="B16" s="571"/>
      <c r="C16" s="571"/>
      <c r="D16" s="571"/>
      <c r="E16" s="571"/>
      <c r="F16" s="571"/>
      <c r="G16" s="571"/>
    </row>
    <row r="17" spans="1:11">
      <c r="A17" s="574"/>
      <c r="B17" s="574"/>
      <c r="C17" s="574"/>
      <c r="D17" s="574"/>
      <c r="E17" s="574"/>
      <c r="F17" s="574"/>
      <c r="G17" s="574"/>
    </row>
    <row r="18" spans="1:11">
      <c r="A18" s="221"/>
      <c r="B18" s="221"/>
      <c r="C18" s="221"/>
      <c r="D18" s="221"/>
      <c r="E18" s="221"/>
      <c r="F18" s="221"/>
      <c r="G18" s="221"/>
    </row>
    <row r="19" spans="1:11">
      <c r="A19" s="39" t="s">
        <v>57</v>
      </c>
      <c r="B19" s="39" t="s">
        <v>353</v>
      </c>
      <c r="C19" s="39" t="s">
        <v>358</v>
      </c>
      <c r="D19" s="39" t="s">
        <v>359</v>
      </c>
      <c r="E19" s="216" t="s">
        <v>360</v>
      </c>
      <c r="F19" s="224" t="s">
        <v>361</v>
      </c>
      <c r="G19" s="224" t="s">
        <v>22</v>
      </c>
    </row>
    <row r="20" spans="1:11">
      <c r="A20" s="23" t="s">
        <v>30</v>
      </c>
      <c r="B20" s="218" t="e">
        <f>SUM(impostos!B37:B39)</f>
        <v>#REF!</v>
      </c>
      <c r="C20" s="218" t="e">
        <f>I20</f>
        <v>#REF!</v>
      </c>
      <c r="D20" s="226" t="e">
        <f>K20*10/100</f>
        <v>#REF!</v>
      </c>
      <c r="E20" s="226" t="e">
        <f>C20*0.15</f>
        <v>#REF!</v>
      </c>
      <c r="F20" s="218" t="e">
        <f>C20*0.09</f>
        <v>#REF!</v>
      </c>
      <c r="G20" s="218" t="e">
        <f>SUM(D20:F20)</f>
        <v>#REF!</v>
      </c>
      <c r="I20" s="114" t="e">
        <f>B20*0.32</f>
        <v>#REF!</v>
      </c>
      <c r="J20" s="114">
        <v>60000</v>
      </c>
      <c r="K20" s="114" t="e">
        <f>I20-J20</f>
        <v>#REF!</v>
      </c>
    </row>
    <row r="21" spans="1:11">
      <c r="A21" s="23" t="s">
        <v>31</v>
      </c>
      <c r="B21" s="218" t="e">
        <f>SUM(impostos!B40:B42)</f>
        <v>#REF!</v>
      </c>
      <c r="C21" s="218" t="e">
        <f t="shared" ref="C21:C23" si="9">I21</f>
        <v>#REF!</v>
      </c>
      <c r="D21" s="226" t="e">
        <f>K21*10/100</f>
        <v>#REF!</v>
      </c>
      <c r="E21" s="226" t="e">
        <f t="shared" ref="E21:E23" si="10">C21*0.15</f>
        <v>#REF!</v>
      </c>
      <c r="F21" s="218" t="e">
        <f t="shared" ref="F21:F23" si="11">C21*0.09</f>
        <v>#REF!</v>
      </c>
      <c r="G21" s="218" t="e">
        <f>SUM(D21:F21)</f>
        <v>#REF!</v>
      </c>
      <c r="I21" s="114" t="e">
        <f t="shared" ref="I21:I23" si="12">B21*0.32</f>
        <v>#REF!</v>
      </c>
      <c r="J21" s="114">
        <v>60000</v>
      </c>
      <c r="K21" s="114" t="e">
        <f>I21-J21</f>
        <v>#REF!</v>
      </c>
    </row>
    <row r="22" spans="1:11">
      <c r="A22" s="23" t="s">
        <v>32</v>
      </c>
      <c r="B22" s="218" t="e">
        <f>SUM(impostos!B43:B45)</f>
        <v>#REF!</v>
      </c>
      <c r="C22" s="218" t="e">
        <f t="shared" si="9"/>
        <v>#REF!</v>
      </c>
      <c r="D22" s="226" t="e">
        <f>K22*10/100</f>
        <v>#REF!</v>
      </c>
      <c r="E22" s="226" t="e">
        <f t="shared" si="10"/>
        <v>#REF!</v>
      </c>
      <c r="F22" s="218" t="e">
        <f t="shared" si="11"/>
        <v>#REF!</v>
      </c>
      <c r="G22" s="218" t="e">
        <f>SUM(D22:F22)</f>
        <v>#REF!</v>
      </c>
      <c r="I22" s="114" t="e">
        <f t="shared" si="12"/>
        <v>#REF!</v>
      </c>
      <c r="J22" s="114">
        <v>60000</v>
      </c>
      <c r="K22" s="114" t="e">
        <f>I22-J22</f>
        <v>#REF!</v>
      </c>
    </row>
    <row r="23" spans="1:11">
      <c r="A23" s="23" t="s">
        <v>33</v>
      </c>
      <c r="B23" s="218" t="e">
        <f>SUM(impostos!B46:B48)</f>
        <v>#REF!</v>
      </c>
      <c r="C23" s="218" t="e">
        <f t="shared" si="9"/>
        <v>#REF!</v>
      </c>
      <c r="D23" s="226" t="e">
        <f>K23*10/100</f>
        <v>#REF!</v>
      </c>
      <c r="E23" s="226" t="e">
        <f t="shared" si="10"/>
        <v>#REF!</v>
      </c>
      <c r="F23" s="218" t="e">
        <f t="shared" si="11"/>
        <v>#REF!</v>
      </c>
      <c r="G23" s="218" t="e">
        <f>SUM(D23:F23)</f>
        <v>#REF!</v>
      </c>
      <c r="I23" s="114" t="e">
        <f t="shared" si="12"/>
        <v>#REF!</v>
      </c>
      <c r="J23" s="114">
        <v>60000</v>
      </c>
      <c r="K23" s="114" t="e">
        <f>I23-J23</f>
        <v>#REF!</v>
      </c>
    </row>
    <row r="24" spans="1:11">
      <c r="A24" s="219" t="s">
        <v>13</v>
      </c>
      <c r="B24" s="220" t="e">
        <f t="shared" ref="B24:G24" si="13">SUM(B20:B23)</f>
        <v>#REF!</v>
      </c>
      <c r="C24" s="220" t="e">
        <f t="shared" si="13"/>
        <v>#REF!</v>
      </c>
      <c r="D24" s="227" t="e">
        <f t="shared" si="13"/>
        <v>#REF!</v>
      </c>
      <c r="E24" s="227" t="e">
        <f t="shared" si="13"/>
        <v>#REF!</v>
      </c>
      <c r="F24" s="220" t="e">
        <f t="shared" si="13"/>
        <v>#REF!</v>
      </c>
      <c r="G24" s="220" t="e">
        <f t="shared" si="13"/>
        <v>#REF!</v>
      </c>
    </row>
    <row r="27" spans="1:11">
      <c r="A27" s="39" t="s">
        <v>381</v>
      </c>
      <c r="B27" s="39" t="s">
        <v>353</v>
      </c>
      <c r="C27" s="39" t="s">
        <v>358</v>
      </c>
      <c r="D27" s="39" t="s">
        <v>359</v>
      </c>
      <c r="E27" s="216" t="s">
        <v>360</v>
      </c>
      <c r="F27" s="224" t="s">
        <v>361</v>
      </c>
      <c r="G27" s="224" t="s">
        <v>22</v>
      </c>
    </row>
    <row r="28" spans="1:11">
      <c r="A28" s="23" t="s">
        <v>30</v>
      </c>
      <c r="B28" s="218" t="e">
        <f>SUM(impostos!B53:B55)</f>
        <v>#REF!</v>
      </c>
      <c r="C28" s="218" t="e">
        <f>I28</f>
        <v>#REF!</v>
      </c>
      <c r="D28" s="226" t="e">
        <f>K28*10/100</f>
        <v>#REF!</v>
      </c>
      <c r="E28" s="226" t="e">
        <f>C28*0.15</f>
        <v>#REF!</v>
      </c>
      <c r="F28" s="218" t="e">
        <f>C28*0.09</f>
        <v>#REF!</v>
      </c>
      <c r="G28" s="218" t="e">
        <f>SUM(D28:F28)</f>
        <v>#REF!</v>
      </c>
      <c r="I28" s="114" t="e">
        <f>B28*0.32</f>
        <v>#REF!</v>
      </c>
      <c r="J28" s="114">
        <v>60000</v>
      </c>
      <c r="K28" s="114" t="e">
        <f>I28-J28</f>
        <v>#REF!</v>
      </c>
    </row>
    <row r="29" spans="1:11">
      <c r="A29" s="23" t="s">
        <v>31</v>
      </c>
      <c r="B29" s="218" t="e">
        <f>SUM(impostos!B56:B58)</f>
        <v>#REF!</v>
      </c>
      <c r="C29" s="218" t="e">
        <f t="shared" ref="C29:C31" si="14">I29</f>
        <v>#REF!</v>
      </c>
      <c r="D29" s="226" t="e">
        <f>K29*10/100</f>
        <v>#REF!</v>
      </c>
      <c r="E29" s="226" t="e">
        <f t="shared" ref="E29:E31" si="15">C29*0.15</f>
        <v>#REF!</v>
      </c>
      <c r="F29" s="218" t="e">
        <f t="shared" ref="F29:F31" si="16">C29*0.09</f>
        <v>#REF!</v>
      </c>
      <c r="G29" s="218" t="e">
        <f>SUM(D29:F29)</f>
        <v>#REF!</v>
      </c>
      <c r="I29" s="114" t="e">
        <f t="shared" ref="I29:I31" si="17">B29*0.32</f>
        <v>#REF!</v>
      </c>
      <c r="J29" s="114">
        <v>60000</v>
      </c>
      <c r="K29" s="114" t="e">
        <f>I29-J29</f>
        <v>#REF!</v>
      </c>
    </row>
    <row r="30" spans="1:11">
      <c r="A30" s="23" t="s">
        <v>32</v>
      </c>
      <c r="B30" s="218" t="e">
        <f>SUM(impostos!B59:B61)</f>
        <v>#REF!</v>
      </c>
      <c r="C30" s="218" t="e">
        <f t="shared" si="14"/>
        <v>#REF!</v>
      </c>
      <c r="D30" s="226" t="e">
        <f>K30*10/100</f>
        <v>#REF!</v>
      </c>
      <c r="E30" s="226" t="e">
        <f t="shared" si="15"/>
        <v>#REF!</v>
      </c>
      <c r="F30" s="218" t="e">
        <f t="shared" si="16"/>
        <v>#REF!</v>
      </c>
      <c r="G30" s="218" t="e">
        <f>SUM(D30:F30)</f>
        <v>#REF!</v>
      </c>
      <c r="I30" s="114" t="e">
        <f t="shared" si="17"/>
        <v>#REF!</v>
      </c>
      <c r="J30" s="114">
        <v>60000</v>
      </c>
      <c r="K30" s="114" t="e">
        <f>I30-J30</f>
        <v>#REF!</v>
      </c>
    </row>
    <row r="31" spans="1:11">
      <c r="A31" s="23" t="s">
        <v>33</v>
      </c>
      <c r="B31" s="218" t="e">
        <f>SUM(impostos!B62:B64)</f>
        <v>#REF!</v>
      </c>
      <c r="C31" s="218" t="e">
        <f t="shared" si="14"/>
        <v>#REF!</v>
      </c>
      <c r="D31" s="226" t="e">
        <f>K31*10/100</f>
        <v>#REF!</v>
      </c>
      <c r="E31" s="226" t="e">
        <f t="shared" si="15"/>
        <v>#REF!</v>
      </c>
      <c r="F31" s="218" t="e">
        <f t="shared" si="16"/>
        <v>#REF!</v>
      </c>
      <c r="G31" s="218" t="e">
        <f>SUM(D31:F31)</f>
        <v>#REF!</v>
      </c>
      <c r="I31" s="114" t="e">
        <f t="shared" si="17"/>
        <v>#REF!</v>
      </c>
      <c r="J31" s="114">
        <v>60000</v>
      </c>
      <c r="K31" s="114" t="e">
        <f>I31-J31</f>
        <v>#REF!</v>
      </c>
    </row>
    <row r="32" spans="1:11">
      <c r="A32" s="219" t="s">
        <v>13</v>
      </c>
      <c r="B32" s="220" t="e">
        <f t="shared" ref="B32:G32" si="18">SUM(B28:B31)</f>
        <v>#REF!</v>
      </c>
      <c r="C32" s="220" t="e">
        <f t="shared" si="18"/>
        <v>#REF!</v>
      </c>
      <c r="D32" s="227" t="e">
        <f t="shared" si="18"/>
        <v>#REF!</v>
      </c>
      <c r="E32" s="227" t="e">
        <f t="shared" si="18"/>
        <v>#REF!</v>
      </c>
      <c r="F32" s="220" t="e">
        <f t="shared" si="18"/>
        <v>#REF!</v>
      </c>
      <c r="G32" s="220" t="e">
        <f t="shared" si="18"/>
        <v>#REF!</v>
      </c>
    </row>
    <row r="34" spans="1:11">
      <c r="A34" s="39" t="s">
        <v>382</v>
      </c>
      <c r="B34" s="39" t="s">
        <v>353</v>
      </c>
      <c r="C34" s="39" t="s">
        <v>358</v>
      </c>
      <c r="D34" s="39" t="s">
        <v>359</v>
      </c>
      <c r="E34" s="216" t="s">
        <v>360</v>
      </c>
      <c r="F34" s="224" t="s">
        <v>361</v>
      </c>
      <c r="G34" s="224" t="s">
        <v>22</v>
      </c>
    </row>
    <row r="35" spans="1:11">
      <c r="A35" s="23" t="s">
        <v>30</v>
      </c>
      <c r="B35" s="218" t="e">
        <f>SUM(impostos!B70:B72)</f>
        <v>#REF!</v>
      </c>
      <c r="C35" s="218" t="e">
        <f>I35</f>
        <v>#REF!</v>
      </c>
      <c r="D35" s="226" t="e">
        <f>K35*10/100</f>
        <v>#REF!</v>
      </c>
      <c r="E35" s="226" t="e">
        <f>C35*0.15</f>
        <v>#REF!</v>
      </c>
      <c r="F35" s="218" t="e">
        <f>C35*0.09</f>
        <v>#REF!</v>
      </c>
      <c r="G35" s="218" t="e">
        <f>SUM(D35:F35)</f>
        <v>#REF!</v>
      </c>
      <c r="I35" s="114" t="e">
        <f>B35*0.32</f>
        <v>#REF!</v>
      </c>
      <c r="J35" s="114">
        <v>60000</v>
      </c>
      <c r="K35" s="114" t="e">
        <f>I35-J35</f>
        <v>#REF!</v>
      </c>
    </row>
    <row r="36" spans="1:11">
      <c r="A36" s="23" t="s">
        <v>31</v>
      </c>
      <c r="B36" s="218" t="e">
        <f>SUM(impostos!B73:B75)</f>
        <v>#REF!</v>
      </c>
      <c r="C36" s="218" t="e">
        <f t="shared" ref="C36:C38" si="19">I36</f>
        <v>#REF!</v>
      </c>
      <c r="D36" s="226" t="e">
        <f>K36*10/100</f>
        <v>#REF!</v>
      </c>
      <c r="E36" s="226" t="e">
        <f t="shared" ref="E36:E38" si="20">C36*0.15</f>
        <v>#REF!</v>
      </c>
      <c r="F36" s="218" t="e">
        <f t="shared" ref="F36:F38" si="21">C36*0.09</f>
        <v>#REF!</v>
      </c>
      <c r="G36" s="218" t="e">
        <f>SUM(D36:F36)</f>
        <v>#REF!</v>
      </c>
      <c r="I36" s="114" t="e">
        <f t="shared" ref="I36:I38" si="22">B36*0.32</f>
        <v>#REF!</v>
      </c>
      <c r="J36" s="114">
        <v>60000</v>
      </c>
      <c r="K36" s="114" t="e">
        <f>I36-J36</f>
        <v>#REF!</v>
      </c>
    </row>
    <row r="37" spans="1:11">
      <c r="A37" s="23" t="s">
        <v>32</v>
      </c>
      <c r="B37" s="218" t="e">
        <f>SUM(impostos!B76:B78)</f>
        <v>#REF!</v>
      </c>
      <c r="C37" s="218" t="e">
        <f t="shared" si="19"/>
        <v>#REF!</v>
      </c>
      <c r="D37" s="226" t="e">
        <f>K37*10/100</f>
        <v>#REF!</v>
      </c>
      <c r="E37" s="226" t="e">
        <f t="shared" si="20"/>
        <v>#REF!</v>
      </c>
      <c r="F37" s="218" t="e">
        <f t="shared" si="21"/>
        <v>#REF!</v>
      </c>
      <c r="G37" s="218" t="e">
        <f>SUM(D37:F37)</f>
        <v>#REF!</v>
      </c>
      <c r="I37" s="114" t="e">
        <f t="shared" si="22"/>
        <v>#REF!</v>
      </c>
      <c r="J37" s="114">
        <v>60000</v>
      </c>
      <c r="K37" s="114" t="e">
        <f>I37-J37</f>
        <v>#REF!</v>
      </c>
    </row>
    <row r="38" spans="1:11">
      <c r="A38" s="23" t="s">
        <v>33</v>
      </c>
      <c r="B38" s="218" t="e">
        <f>SUM(impostos!B79:B81)</f>
        <v>#REF!</v>
      </c>
      <c r="C38" s="218" t="e">
        <f t="shared" si="19"/>
        <v>#REF!</v>
      </c>
      <c r="D38" s="226" t="e">
        <f>K38*10/100</f>
        <v>#REF!</v>
      </c>
      <c r="E38" s="226" t="e">
        <f t="shared" si="20"/>
        <v>#REF!</v>
      </c>
      <c r="F38" s="218" t="e">
        <f t="shared" si="21"/>
        <v>#REF!</v>
      </c>
      <c r="G38" s="218" t="e">
        <f>SUM(D38:F38)</f>
        <v>#REF!</v>
      </c>
      <c r="I38" s="114" t="e">
        <f t="shared" si="22"/>
        <v>#REF!</v>
      </c>
      <c r="J38" s="114">
        <v>60000</v>
      </c>
      <c r="K38" s="114" t="e">
        <f>I38-J38</f>
        <v>#REF!</v>
      </c>
    </row>
    <row r="39" spans="1:11">
      <c r="A39" s="219" t="s">
        <v>13</v>
      </c>
      <c r="B39" s="220" t="e">
        <f t="shared" ref="B39:G39" si="23">SUM(B35:B38)</f>
        <v>#REF!</v>
      </c>
      <c r="C39" s="220" t="e">
        <f t="shared" si="23"/>
        <v>#REF!</v>
      </c>
      <c r="D39" s="227" t="e">
        <f t="shared" si="23"/>
        <v>#REF!</v>
      </c>
      <c r="E39" s="227" t="e">
        <f t="shared" si="23"/>
        <v>#REF!</v>
      </c>
      <c r="F39" s="220" t="e">
        <f t="shared" si="23"/>
        <v>#REF!</v>
      </c>
      <c r="G39" s="220" t="e">
        <f t="shared" si="23"/>
        <v>#REF!</v>
      </c>
    </row>
  </sheetData>
  <mergeCells count="2">
    <mergeCell ref="A7:G9"/>
    <mergeCell ref="A16:G17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4"/>
  <dimension ref="A1:K70"/>
  <sheetViews>
    <sheetView showGridLines="0" zoomScaleNormal="100" workbookViewId="0">
      <selection activeCell="H77" sqref="H77"/>
    </sheetView>
  </sheetViews>
  <sheetFormatPr defaultRowHeight="15"/>
  <cols>
    <col min="2" max="2" width="18.28515625" bestFit="1" customWidth="1"/>
    <col min="3" max="4" width="15.42578125" bestFit="1" customWidth="1"/>
    <col min="5" max="5" width="15.42578125" hidden="1" customWidth="1"/>
    <col min="6" max="7" width="14.85546875" hidden="1" customWidth="1"/>
    <col min="8" max="8" width="94.140625" bestFit="1" customWidth="1"/>
    <col min="9" max="9" width="11.28515625" bestFit="1" customWidth="1"/>
    <col min="10" max="10" width="31.85546875" bestFit="1" customWidth="1"/>
  </cols>
  <sheetData>
    <row r="1" spans="1:10">
      <c r="C1" s="316" t="s">
        <v>55</v>
      </c>
      <c r="D1" s="316" t="s">
        <v>56</v>
      </c>
      <c r="E1" t="s">
        <v>57</v>
      </c>
      <c r="F1" t="s">
        <v>381</v>
      </c>
      <c r="G1" t="s">
        <v>382</v>
      </c>
    </row>
    <row r="2" spans="1:10">
      <c r="B2" s="246" t="s">
        <v>58</v>
      </c>
      <c r="C2" s="248" t="e">
        <f>faturamento!#REF!</f>
        <v>#REF!</v>
      </c>
      <c r="D2" s="248" t="e">
        <f>faturamento!#REF!</f>
        <v>#REF!</v>
      </c>
      <c r="E2" s="21" t="e">
        <f>faturamento!#REF!</f>
        <v>#REF!</v>
      </c>
      <c r="F2" s="7" t="e">
        <f>faturamento!#REF!</f>
        <v>#REF!</v>
      </c>
      <c r="G2" s="7" t="e">
        <f>faturamento!#REF!</f>
        <v>#REF!</v>
      </c>
    </row>
    <row r="3" spans="1:10">
      <c r="B3" s="246" t="s">
        <v>59</v>
      </c>
      <c r="C3" s="578">
        <v>0.09</v>
      </c>
      <c r="D3" s="578"/>
      <c r="E3" s="302"/>
    </row>
    <row r="4" spans="1:10">
      <c r="B4" s="246" t="s">
        <v>60</v>
      </c>
      <c r="C4" s="579">
        <v>8100</v>
      </c>
      <c r="D4" s="579"/>
      <c r="E4" s="285"/>
      <c r="H4" s="112" t="s">
        <v>200</v>
      </c>
    </row>
    <row r="5" spans="1:10">
      <c r="B5" s="246"/>
      <c r="C5" s="246"/>
      <c r="D5" s="246"/>
    </row>
    <row r="6" spans="1:10">
      <c r="B6" s="246" t="s">
        <v>61</v>
      </c>
      <c r="C6" s="303" t="e">
        <f>(C2*$C$3-$C$4)/C2</f>
        <v>#REF!</v>
      </c>
      <c r="D6" s="303" t="e">
        <f t="shared" ref="D6:G6" si="0">(D2*$C$3-$C$4)/D2</f>
        <v>#REF!</v>
      </c>
      <c r="E6" s="22" t="e">
        <f t="shared" si="0"/>
        <v>#REF!</v>
      </c>
      <c r="F6" s="22" t="e">
        <f t="shared" si="0"/>
        <v>#REF!</v>
      </c>
      <c r="G6" s="22" t="e">
        <f t="shared" si="0"/>
        <v>#REF!</v>
      </c>
      <c r="H6" s="113" t="s">
        <v>201</v>
      </c>
    </row>
    <row r="8" spans="1:10">
      <c r="H8" t="s">
        <v>202</v>
      </c>
      <c r="I8" t="s">
        <v>203</v>
      </c>
      <c r="J8" s="114" t="e">
        <f>C2</f>
        <v>#REF!</v>
      </c>
    </row>
    <row r="9" spans="1:10">
      <c r="B9" s="583" t="s">
        <v>62</v>
      </c>
      <c r="C9" s="583"/>
      <c r="I9" s="103" t="s">
        <v>204</v>
      </c>
      <c r="J9" s="115">
        <v>0.09</v>
      </c>
    </row>
    <row r="10" spans="1:10">
      <c r="H10" t="s">
        <v>205</v>
      </c>
      <c r="I10" t="s">
        <v>206</v>
      </c>
      <c r="J10" s="116">
        <v>8100</v>
      </c>
    </row>
    <row r="11" spans="1:10">
      <c r="A11" s="580" t="s">
        <v>55</v>
      </c>
      <c r="B11" s="23" t="s">
        <v>63</v>
      </c>
      <c r="C11" s="24" t="e">
        <f>faturamento!#REF!*Simples!$C$6</f>
        <v>#REF!</v>
      </c>
    </row>
    <row r="12" spans="1:10">
      <c r="A12" s="581"/>
      <c r="B12" s="23" t="s">
        <v>64</v>
      </c>
      <c r="C12" s="24" t="e">
        <f>faturamento!#REF!*Simples!$C$6</f>
        <v>#REF!</v>
      </c>
      <c r="H12" t="s">
        <v>207</v>
      </c>
      <c r="I12" s="109"/>
    </row>
    <row r="13" spans="1:10">
      <c r="A13" s="581"/>
      <c r="B13" s="23" t="s">
        <v>65</v>
      </c>
      <c r="C13" s="24" t="e">
        <f>faturamento!#REF!*Simples!$C$6</f>
        <v>#REF!</v>
      </c>
      <c r="H13" t="s">
        <v>208</v>
      </c>
      <c r="I13" s="109" t="e">
        <f>J8*9%</f>
        <v>#REF!</v>
      </c>
    </row>
    <row r="14" spans="1:10">
      <c r="A14" s="581"/>
      <c r="B14" s="23" t="s">
        <v>66</v>
      </c>
      <c r="C14" s="24" t="e">
        <f>faturamento!#REF!*Simples!$C$6</f>
        <v>#REF!</v>
      </c>
      <c r="H14" t="s">
        <v>209</v>
      </c>
      <c r="I14" s="117">
        <v>8100</v>
      </c>
      <c r="J14" s="117" t="e">
        <f>I13-I14</f>
        <v>#REF!</v>
      </c>
    </row>
    <row r="15" spans="1:10">
      <c r="A15" s="581"/>
      <c r="B15" s="23" t="s">
        <v>67</v>
      </c>
      <c r="C15" s="24" t="e">
        <f>faturamento!#REF!*Simples!$C$6</f>
        <v>#REF!</v>
      </c>
      <c r="J15" s="117" t="e">
        <f>J14/J8</f>
        <v>#REF!</v>
      </c>
    </row>
    <row r="16" spans="1:10">
      <c r="A16" s="581"/>
      <c r="B16" s="23" t="s">
        <v>68</v>
      </c>
      <c r="C16" s="24" t="e">
        <f>faturamento!#REF!*Simples!$C$6</f>
        <v>#REF!</v>
      </c>
      <c r="H16" t="s">
        <v>210</v>
      </c>
    </row>
    <row r="17" spans="1:11">
      <c r="A17" s="581"/>
      <c r="B17" s="23" t="s">
        <v>69</v>
      </c>
      <c r="C17" s="24" t="e">
        <f>faturamento!#REF!*Simples!$C$6</f>
        <v>#REF!</v>
      </c>
    </row>
    <row r="18" spans="1:11">
      <c r="A18" s="581"/>
      <c r="B18" s="23" t="s">
        <v>70</v>
      </c>
      <c r="C18" s="24" t="e">
        <f>faturamento!#REF!*Simples!$C$6</f>
        <v>#REF!</v>
      </c>
      <c r="H18" t="s">
        <v>211</v>
      </c>
    </row>
    <row r="19" spans="1:11">
      <c r="A19" s="581"/>
      <c r="B19" s="23" t="s">
        <v>71</v>
      </c>
      <c r="C19" s="24" t="e">
        <f>faturamento!#REF!*Simples!$C$6</f>
        <v>#REF!</v>
      </c>
      <c r="H19" t="s">
        <v>212</v>
      </c>
    </row>
    <row r="20" spans="1:11">
      <c r="A20" s="581"/>
      <c r="B20" s="23" t="s">
        <v>72</v>
      </c>
      <c r="C20" s="24" t="e">
        <f>faturamento!#REF!*Simples!$C$6</f>
        <v>#REF!</v>
      </c>
    </row>
    <row r="21" spans="1:11">
      <c r="A21" s="581"/>
      <c r="B21" s="23" t="s">
        <v>73</v>
      </c>
      <c r="C21" s="24" t="e">
        <f>faturamento!#REF!*Simples!$C$6</f>
        <v>#REF!</v>
      </c>
      <c r="H21" t="s">
        <v>213</v>
      </c>
    </row>
    <row r="22" spans="1:11">
      <c r="A22" s="582"/>
      <c r="B22" s="23" t="s">
        <v>74</v>
      </c>
      <c r="C22" s="24" t="e">
        <f>faturamento!#REF!*Simples!$C$6</f>
        <v>#REF!</v>
      </c>
    </row>
    <row r="23" spans="1:11">
      <c r="A23" s="580" t="s">
        <v>56</v>
      </c>
      <c r="B23" s="23" t="s">
        <v>63</v>
      </c>
      <c r="C23" s="24" t="e">
        <f>faturamento!#REF!*Simples!$D$6</f>
        <v>#REF!</v>
      </c>
      <c r="H23" t="s">
        <v>214</v>
      </c>
    </row>
    <row r="24" spans="1:11">
      <c r="A24" s="581"/>
      <c r="B24" s="23" t="s">
        <v>64</v>
      </c>
      <c r="C24" s="24" t="e">
        <f>faturamento!#REF!*Simples!$D$6</f>
        <v>#REF!</v>
      </c>
    </row>
    <row r="25" spans="1:11">
      <c r="A25" s="581"/>
      <c r="B25" s="23" t="s">
        <v>65</v>
      </c>
      <c r="C25" s="24" t="e">
        <f>faturamento!#REF!*Simples!$D$6</f>
        <v>#REF!</v>
      </c>
      <c r="H25" t="s">
        <v>215</v>
      </c>
    </row>
    <row r="26" spans="1:11">
      <c r="A26" s="581"/>
      <c r="B26" s="23" t="s">
        <v>66</v>
      </c>
      <c r="C26" s="24" t="e">
        <f>faturamento!#REF!*Simples!$D$6</f>
        <v>#REF!</v>
      </c>
    </row>
    <row r="27" spans="1:11">
      <c r="A27" s="581"/>
      <c r="B27" s="23" t="s">
        <v>67</v>
      </c>
      <c r="C27" s="24" t="e">
        <f>faturamento!#REF!*Simples!$D$6</f>
        <v>#REF!</v>
      </c>
      <c r="H27" t="s">
        <v>216</v>
      </c>
      <c r="I27" t="s">
        <v>217</v>
      </c>
      <c r="J27" t="s">
        <v>218</v>
      </c>
    </row>
    <row r="28" spans="1:11">
      <c r="A28" s="581"/>
      <c r="B28" s="23" t="s">
        <v>68</v>
      </c>
      <c r="C28" s="24" t="e">
        <f>faturamento!#REF!*Simples!$D$6</f>
        <v>#REF!</v>
      </c>
      <c r="H28" t="s">
        <v>219</v>
      </c>
      <c r="I28" s="115">
        <v>0.19500000000000001</v>
      </c>
      <c r="J28" s="118">
        <v>9900</v>
      </c>
    </row>
    <row r="29" spans="1:11">
      <c r="A29" s="581"/>
      <c r="B29" s="23" t="s">
        <v>69</v>
      </c>
      <c r="C29" s="24" t="e">
        <f>faturamento!#REF!*Simples!$D$6</f>
        <v>#REF!</v>
      </c>
      <c r="H29" t="s">
        <v>220</v>
      </c>
      <c r="I29" s="115">
        <v>0.20499999999999999</v>
      </c>
      <c r="J29" s="118">
        <v>17100</v>
      </c>
    </row>
    <row r="30" spans="1:11">
      <c r="A30" s="581"/>
      <c r="B30" s="23" t="s">
        <v>70</v>
      </c>
      <c r="C30" s="24" t="e">
        <f>faturamento!#REF!*Simples!$D$6</f>
        <v>#REF!</v>
      </c>
      <c r="H30" s="119" t="s">
        <v>221</v>
      </c>
      <c r="I30" s="120">
        <v>0.23</v>
      </c>
      <c r="J30" s="121">
        <v>62100</v>
      </c>
      <c r="K30" s="119"/>
    </row>
    <row r="31" spans="1:11">
      <c r="A31" s="581"/>
      <c r="B31" s="23" t="s">
        <v>71</v>
      </c>
      <c r="C31" s="24" t="e">
        <f>faturamento!#REF!*Simples!$D$6</f>
        <v>#REF!</v>
      </c>
      <c r="H31" t="s">
        <v>222</v>
      </c>
      <c r="I31" s="115">
        <v>0.30499999999999999</v>
      </c>
      <c r="J31" s="118">
        <v>540000</v>
      </c>
    </row>
    <row r="32" spans="1:11">
      <c r="A32" s="581"/>
      <c r="B32" s="23" t="s">
        <v>72</v>
      </c>
      <c r="C32" s="24" t="e">
        <f>faturamento!#REF!*Simples!$D$6</f>
        <v>#REF!</v>
      </c>
    </row>
    <row r="33" spans="1:8">
      <c r="A33" s="581"/>
      <c r="B33" s="23" t="s">
        <v>73</v>
      </c>
      <c r="C33" s="24" t="e">
        <f>faturamento!#REF!*Simples!$D$6</f>
        <v>#REF!</v>
      </c>
    </row>
    <row r="34" spans="1:8">
      <c r="A34" s="582"/>
      <c r="B34" s="23" t="s">
        <v>74</v>
      </c>
      <c r="C34" s="24" t="e">
        <f>faturamento!#REF!*Simples!$D$6</f>
        <v>#REF!</v>
      </c>
    </row>
    <row r="35" spans="1:8">
      <c r="A35" s="580" t="s">
        <v>57</v>
      </c>
      <c r="B35" s="23" t="s">
        <v>63</v>
      </c>
      <c r="C35" s="24" t="e">
        <f>faturamento!#REF!*Simples!$E$6</f>
        <v>#REF!</v>
      </c>
      <c r="H35" s="122" t="s">
        <v>223</v>
      </c>
    </row>
    <row r="36" spans="1:8">
      <c r="A36" s="581"/>
      <c r="B36" s="23" t="s">
        <v>64</v>
      </c>
      <c r="C36" s="24" t="e">
        <f>faturamento!#REF!*Simples!$E$6</f>
        <v>#REF!</v>
      </c>
      <c r="H36" s="122" t="s">
        <v>224</v>
      </c>
    </row>
    <row r="37" spans="1:8">
      <c r="A37" s="581"/>
      <c r="B37" s="23" t="s">
        <v>65</v>
      </c>
      <c r="C37" s="24" t="e">
        <f>faturamento!#REF!*Simples!$E$6</f>
        <v>#REF!</v>
      </c>
    </row>
    <row r="38" spans="1:8">
      <c r="A38" s="581"/>
      <c r="B38" s="23" t="s">
        <v>66</v>
      </c>
      <c r="C38" s="24" t="e">
        <f>faturamento!#REF!*Simples!$E$6</f>
        <v>#REF!</v>
      </c>
    </row>
    <row r="39" spans="1:8">
      <c r="A39" s="581"/>
      <c r="B39" s="23" t="s">
        <v>67</v>
      </c>
      <c r="C39" s="24" t="e">
        <f>faturamento!#REF!*Simples!$E$6</f>
        <v>#REF!</v>
      </c>
    </row>
    <row r="40" spans="1:8">
      <c r="A40" s="581"/>
      <c r="B40" s="23" t="s">
        <v>68</v>
      </c>
      <c r="C40" s="24" t="e">
        <f>faturamento!#REF!*Simples!$E$6</f>
        <v>#REF!</v>
      </c>
    </row>
    <row r="41" spans="1:8">
      <c r="A41" s="581"/>
      <c r="B41" s="23" t="s">
        <v>69</v>
      </c>
      <c r="C41" s="24" t="e">
        <f>faturamento!#REF!*Simples!$E$6</f>
        <v>#REF!</v>
      </c>
    </row>
    <row r="42" spans="1:8">
      <c r="A42" s="581"/>
      <c r="B42" s="23" t="s">
        <v>70</v>
      </c>
      <c r="C42" s="24" t="e">
        <f>faturamento!#REF!*Simples!$E$6</f>
        <v>#REF!</v>
      </c>
    </row>
    <row r="43" spans="1:8">
      <c r="A43" s="581"/>
      <c r="B43" s="23" t="s">
        <v>71</v>
      </c>
      <c r="C43" s="24" t="e">
        <f>faturamento!#REF!*Simples!$E$6</f>
        <v>#REF!</v>
      </c>
    </row>
    <row r="44" spans="1:8">
      <c r="A44" s="581"/>
      <c r="B44" s="23" t="s">
        <v>72</v>
      </c>
      <c r="C44" s="24" t="e">
        <f>faturamento!#REF!*Simples!$E$6</f>
        <v>#REF!</v>
      </c>
    </row>
    <row r="45" spans="1:8">
      <c r="A45" s="581"/>
      <c r="B45" s="23" t="s">
        <v>73</v>
      </c>
      <c r="C45" s="24" t="e">
        <f>faturamento!#REF!*Simples!$E$6</f>
        <v>#REF!</v>
      </c>
    </row>
    <row r="46" spans="1:8">
      <c r="A46" s="582"/>
      <c r="B46" s="23" t="s">
        <v>74</v>
      </c>
      <c r="C46" s="24" t="e">
        <f>faturamento!#REF!*Simples!$E$6</f>
        <v>#REF!</v>
      </c>
    </row>
    <row r="47" spans="1:8">
      <c r="A47" s="580" t="s">
        <v>381</v>
      </c>
      <c r="B47" s="23" t="s">
        <v>63</v>
      </c>
      <c r="C47" s="24" t="e">
        <f>faturamento!#REF!*Simples!$F$6</f>
        <v>#REF!</v>
      </c>
    </row>
    <row r="48" spans="1:8">
      <c r="A48" s="581"/>
      <c r="B48" s="23" t="s">
        <v>64</v>
      </c>
      <c r="C48" s="24" t="e">
        <f>faturamento!#REF!*Simples!$F$6</f>
        <v>#REF!</v>
      </c>
    </row>
    <row r="49" spans="1:3">
      <c r="A49" s="581"/>
      <c r="B49" s="23" t="s">
        <v>65</v>
      </c>
      <c r="C49" s="24" t="e">
        <f>faturamento!#REF!*Simples!$F$6</f>
        <v>#REF!</v>
      </c>
    </row>
    <row r="50" spans="1:3">
      <c r="A50" s="581"/>
      <c r="B50" s="23" t="s">
        <v>66</v>
      </c>
      <c r="C50" s="24" t="e">
        <f>faturamento!#REF!*Simples!$F$6</f>
        <v>#REF!</v>
      </c>
    </row>
    <row r="51" spans="1:3">
      <c r="A51" s="581"/>
      <c r="B51" s="23" t="s">
        <v>67</v>
      </c>
      <c r="C51" s="24" t="e">
        <f>faturamento!#REF!*Simples!$F$6</f>
        <v>#REF!</v>
      </c>
    </row>
    <row r="52" spans="1:3">
      <c r="A52" s="581"/>
      <c r="B52" s="23" t="s">
        <v>68</v>
      </c>
      <c r="C52" s="24" t="e">
        <f>faturamento!#REF!*Simples!$F$6</f>
        <v>#REF!</v>
      </c>
    </row>
    <row r="53" spans="1:3">
      <c r="A53" s="581"/>
      <c r="B53" s="23" t="s">
        <v>69</v>
      </c>
      <c r="C53" s="24" t="e">
        <f>faturamento!#REF!*Simples!$F$6</f>
        <v>#REF!</v>
      </c>
    </row>
    <row r="54" spans="1:3">
      <c r="A54" s="581"/>
      <c r="B54" s="23" t="s">
        <v>70</v>
      </c>
      <c r="C54" s="24" t="e">
        <f>faturamento!#REF!*Simples!$F$6</f>
        <v>#REF!</v>
      </c>
    </row>
    <row r="55" spans="1:3">
      <c r="A55" s="581"/>
      <c r="B55" s="23" t="s">
        <v>71</v>
      </c>
      <c r="C55" s="24" t="e">
        <f>faturamento!#REF!*Simples!$F$6</f>
        <v>#REF!</v>
      </c>
    </row>
    <row r="56" spans="1:3">
      <c r="A56" s="581"/>
      <c r="B56" s="23" t="s">
        <v>72</v>
      </c>
      <c r="C56" s="24" t="e">
        <f>faturamento!#REF!*Simples!$F$6</f>
        <v>#REF!</v>
      </c>
    </row>
    <row r="57" spans="1:3">
      <c r="A57" s="581"/>
      <c r="B57" s="23" t="s">
        <v>73</v>
      </c>
      <c r="C57" s="24" t="e">
        <f>faturamento!#REF!*Simples!$F$6</f>
        <v>#REF!</v>
      </c>
    </row>
    <row r="58" spans="1:3">
      <c r="A58" s="582"/>
      <c r="B58" s="23" t="s">
        <v>74</v>
      </c>
      <c r="C58" s="24" t="e">
        <f>faturamento!#REF!*Simples!$F$6</f>
        <v>#REF!</v>
      </c>
    </row>
    <row r="59" spans="1:3">
      <c r="A59" s="580" t="s">
        <v>382</v>
      </c>
      <c r="B59" s="23" t="s">
        <v>63</v>
      </c>
      <c r="C59" s="24" t="e">
        <f>faturamento!#REF!*Simples!$G$6</f>
        <v>#REF!</v>
      </c>
    </row>
    <row r="60" spans="1:3">
      <c r="A60" s="581"/>
      <c r="B60" s="23" t="s">
        <v>64</v>
      </c>
      <c r="C60" s="24" t="e">
        <f>faturamento!#REF!*Simples!$G$6</f>
        <v>#REF!</v>
      </c>
    </row>
    <row r="61" spans="1:3">
      <c r="A61" s="581"/>
      <c r="B61" s="23" t="s">
        <v>65</v>
      </c>
      <c r="C61" s="24" t="e">
        <f>faturamento!#REF!*Simples!$G$6</f>
        <v>#REF!</v>
      </c>
    </row>
    <row r="62" spans="1:3">
      <c r="A62" s="581"/>
      <c r="B62" s="23" t="s">
        <v>66</v>
      </c>
      <c r="C62" s="24" t="e">
        <f>faturamento!#REF!*Simples!$G$6</f>
        <v>#REF!</v>
      </c>
    </row>
    <row r="63" spans="1:3">
      <c r="A63" s="581"/>
      <c r="B63" s="23" t="s">
        <v>67</v>
      </c>
      <c r="C63" s="24" t="e">
        <f>faturamento!#REF!*Simples!$G$6</f>
        <v>#REF!</v>
      </c>
    </row>
    <row r="64" spans="1:3">
      <c r="A64" s="581"/>
      <c r="B64" s="23" t="s">
        <v>68</v>
      </c>
      <c r="C64" s="24" t="e">
        <f>faturamento!#REF!*Simples!$G$6</f>
        <v>#REF!</v>
      </c>
    </row>
    <row r="65" spans="1:3">
      <c r="A65" s="581"/>
      <c r="B65" s="23" t="s">
        <v>69</v>
      </c>
      <c r="C65" s="24" t="e">
        <f>faturamento!#REF!*Simples!$G$6</f>
        <v>#REF!</v>
      </c>
    </row>
    <row r="66" spans="1:3">
      <c r="A66" s="581"/>
      <c r="B66" s="23" t="s">
        <v>70</v>
      </c>
      <c r="C66" s="24" t="e">
        <f>faturamento!#REF!*Simples!$G$6</f>
        <v>#REF!</v>
      </c>
    </row>
    <row r="67" spans="1:3">
      <c r="A67" s="581"/>
      <c r="B67" s="23" t="s">
        <v>71</v>
      </c>
      <c r="C67" s="24" t="e">
        <f>faturamento!#REF!*Simples!$G$6</f>
        <v>#REF!</v>
      </c>
    </row>
    <row r="68" spans="1:3">
      <c r="A68" s="581"/>
      <c r="B68" s="23" t="s">
        <v>72</v>
      </c>
      <c r="C68" s="24" t="e">
        <f>faturamento!#REF!*Simples!$G$6</f>
        <v>#REF!</v>
      </c>
    </row>
    <row r="69" spans="1:3">
      <c r="A69" s="581"/>
      <c r="B69" s="23" t="s">
        <v>73</v>
      </c>
      <c r="C69" s="24" t="e">
        <f>faturamento!#REF!*Simples!$G$6</f>
        <v>#REF!</v>
      </c>
    </row>
    <row r="70" spans="1:3">
      <c r="A70" s="582"/>
      <c r="B70" s="23" t="s">
        <v>74</v>
      </c>
      <c r="C70" s="24" t="e">
        <f>faturamento!#REF!*Simples!$G$6</f>
        <v>#REF!</v>
      </c>
    </row>
  </sheetData>
  <mergeCells count="8">
    <mergeCell ref="C3:D3"/>
    <mergeCell ref="C4:D4"/>
    <mergeCell ref="A47:A58"/>
    <mergeCell ref="A59:A70"/>
    <mergeCell ref="A35:A46"/>
    <mergeCell ref="B9:C9"/>
    <mergeCell ref="A11:A22"/>
    <mergeCell ref="A23:A34"/>
  </mergeCells>
  <hyperlinks>
    <hyperlink ref="H35" r:id="rId1"/>
    <hyperlink ref="H36" r:id="rId2"/>
  </hyperlinks>
  <pageMargins left="0.511811024" right="0.511811024" top="0.78740157499999996" bottom="0.78740157499999996" header="0.31496062000000002" footer="0.31496062000000002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F38"/>
  <sheetViews>
    <sheetView workbookViewId="0">
      <selection activeCell="F39" sqref="F39"/>
    </sheetView>
  </sheetViews>
  <sheetFormatPr defaultColWidth="9.140625" defaultRowHeight="15"/>
  <cols>
    <col min="1" max="1" width="16.140625" style="2" bestFit="1" customWidth="1"/>
    <col min="2" max="2" width="18.7109375" style="2" customWidth="1"/>
    <col min="3" max="3" width="23.42578125" style="2" customWidth="1"/>
    <col min="4" max="4" width="20.140625" style="2" customWidth="1"/>
    <col min="5" max="5" width="15.42578125" style="2" customWidth="1"/>
    <col min="6" max="6" width="15.85546875" style="2" customWidth="1"/>
    <col min="7" max="16384" width="9.140625" style="2"/>
  </cols>
  <sheetData>
    <row r="2" spans="2:4" ht="15.75" thickBot="1"/>
    <row r="3" spans="2:4">
      <c r="B3" s="439"/>
      <c r="C3" s="444" t="s">
        <v>227</v>
      </c>
      <c r="D3" s="447" t="s">
        <v>484</v>
      </c>
    </row>
    <row r="4" spans="2:4">
      <c r="B4" s="441">
        <v>1</v>
      </c>
      <c r="C4" s="445" t="s">
        <v>240</v>
      </c>
      <c r="D4" s="448">
        <v>2000</v>
      </c>
    </row>
    <row r="5" spans="2:4">
      <c r="B5" s="441">
        <v>2</v>
      </c>
      <c r="C5" s="445" t="s">
        <v>367</v>
      </c>
      <c r="D5" s="448">
        <v>100</v>
      </c>
    </row>
    <row r="6" spans="2:4">
      <c r="B6" s="441">
        <v>3</v>
      </c>
      <c r="C6" s="445" t="s">
        <v>366</v>
      </c>
      <c r="D6" s="448">
        <v>400</v>
      </c>
    </row>
    <row r="7" spans="2:4" ht="15" customHeight="1">
      <c r="B7" s="441">
        <v>4</v>
      </c>
      <c r="C7" s="445" t="s">
        <v>469</v>
      </c>
      <c r="D7" s="448">
        <v>300</v>
      </c>
    </row>
    <row r="8" spans="2:4">
      <c r="B8" s="441">
        <v>5</v>
      </c>
      <c r="C8" s="445" t="s">
        <v>369</v>
      </c>
      <c r="D8" s="448">
        <v>1400</v>
      </c>
    </row>
    <row r="9" spans="2:4">
      <c r="B9" s="441">
        <v>6</v>
      </c>
      <c r="C9" s="445" t="s">
        <v>493</v>
      </c>
      <c r="D9" s="448">
        <v>1000</v>
      </c>
    </row>
    <row r="10" spans="2:4">
      <c r="B10" s="441">
        <v>7</v>
      </c>
      <c r="C10" s="445"/>
      <c r="D10" s="448"/>
    </row>
    <row r="11" spans="2:4">
      <c r="B11" s="441">
        <v>8</v>
      </c>
      <c r="C11" s="445"/>
      <c r="D11" s="448"/>
    </row>
    <row r="12" spans="2:4">
      <c r="B12" s="441">
        <v>9</v>
      </c>
      <c r="C12" s="445"/>
      <c r="D12" s="448"/>
    </row>
    <row r="13" spans="2:4">
      <c r="B13" s="441">
        <v>10</v>
      </c>
      <c r="C13" s="445"/>
      <c r="D13" s="448"/>
    </row>
    <row r="14" spans="2:4">
      <c r="B14" s="441">
        <v>11</v>
      </c>
      <c r="C14" s="445"/>
      <c r="D14" s="448"/>
    </row>
    <row r="15" spans="2:4" ht="18.75" customHeight="1">
      <c r="B15" s="441">
        <v>12</v>
      </c>
      <c r="C15" s="445"/>
      <c r="D15" s="448"/>
    </row>
    <row r="16" spans="2:4">
      <c r="B16" s="441">
        <v>13</v>
      </c>
      <c r="C16" s="445"/>
      <c r="D16" s="448"/>
    </row>
    <row r="17" spans="2:6">
      <c r="B17" s="441">
        <v>14</v>
      </c>
      <c r="C17" s="445"/>
      <c r="D17" s="448"/>
    </row>
    <row r="18" spans="2:6" ht="15.75" thickBot="1">
      <c r="B18" s="443">
        <v>15</v>
      </c>
      <c r="C18" s="446"/>
      <c r="D18" s="449"/>
    </row>
    <row r="19" spans="2:6">
      <c r="B19" s="2" t="s">
        <v>13</v>
      </c>
      <c r="D19" s="2">
        <f>SUM(D4:D18)</f>
        <v>5200</v>
      </c>
    </row>
    <row r="20" spans="2:6" ht="16.5" customHeight="1"/>
    <row r="21" spans="2:6" ht="16.5" customHeight="1"/>
    <row r="22" spans="2:6" ht="16.5" customHeight="1"/>
    <row r="23" spans="2:6" ht="16.5" customHeight="1" thickBot="1"/>
    <row r="24" spans="2:6" ht="16.5" customHeight="1">
      <c r="B24" s="439"/>
      <c r="C24" s="450" t="s">
        <v>228</v>
      </c>
      <c r="D24" s="450" t="s">
        <v>461</v>
      </c>
      <c r="E24" s="450" t="s">
        <v>478</v>
      </c>
      <c r="F24" s="440" t="s">
        <v>13</v>
      </c>
    </row>
    <row r="25" spans="2:6" ht="16.5" customHeight="1">
      <c r="B25" s="441">
        <v>1</v>
      </c>
      <c r="C25" s="438" t="s">
        <v>470</v>
      </c>
      <c r="D25" s="438">
        <v>3</v>
      </c>
      <c r="E25" s="438">
        <v>2500</v>
      </c>
      <c r="F25" s="442">
        <f>D25*E25</f>
        <v>7500</v>
      </c>
    </row>
    <row r="26" spans="2:6" ht="16.5" customHeight="1">
      <c r="B26" s="441">
        <v>2</v>
      </c>
      <c r="C26" s="438" t="s">
        <v>244</v>
      </c>
      <c r="D26" s="438">
        <v>500</v>
      </c>
      <c r="E26" s="438">
        <v>10</v>
      </c>
      <c r="F26" s="442">
        <f t="shared" ref="F26:F37" si="0">D26*E26</f>
        <v>5000</v>
      </c>
    </row>
    <row r="27" spans="2:6">
      <c r="B27" s="441">
        <v>3</v>
      </c>
      <c r="C27" s="438" t="s">
        <v>365</v>
      </c>
      <c r="D27" s="438">
        <v>1</v>
      </c>
      <c r="E27" s="438">
        <v>300</v>
      </c>
      <c r="F27" s="442">
        <f t="shared" si="0"/>
        <v>300</v>
      </c>
    </row>
    <row r="28" spans="2:6">
      <c r="B28" s="441">
        <v>4</v>
      </c>
      <c r="C28" s="438" t="s">
        <v>486</v>
      </c>
      <c r="D28" s="438">
        <v>1</v>
      </c>
      <c r="E28" s="438">
        <v>500</v>
      </c>
      <c r="F28" s="442">
        <f t="shared" si="0"/>
        <v>500</v>
      </c>
    </row>
    <row r="29" spans="2:6">
      <c r="B29" s="441">
        <v>5</v>
      </c>
      <c r="C29" s="438" t="s">
        <v>487</v>
      </c>
      <c r="D29" s="438">
        <v>1</v>
      </c>
      <c r="E29" s="438">
        <v>1000</v>
      </c>
      <c r="F29" s="442">
        <f t="shared" si="0"/>
        <v>1000</v>
      </c>
    </row>
    <row r="30" spans="2:6">
      <c r="B30" s="441">
        <v>6</v>
      </c>
      <c r="C30" s="438" t="s">
        <v>283</v>
      </c>
      <c r="D30" s="438">
        <v>1</v>
      </c>
      <c r="E30" s="438">
        <v>50</v>
      </c>
      <c r="F30" s="442">
        <f t="shared" si="0"/>
        <v>50</v>
      </c>
    </row>
    <row r="31" spans="2:6">
      <c r="B31" s="441">
        <v>7</v>
      </c>
      <c r="C31" s="438" t="s">
        <v>471</v>
      </c>
      <c r="D31" s="438"/>
      <c r="E31" s="438"/>
      <c r="F31" s="442">
        <f t="shared" si="0"/>
        <v>0</v>
      </c>
    </row>
    <row r="32" spans="2:6">
      <c r="B32" s="441">
        <v>8</v>
      </c>
      <c r="C32" s="438" t="s">
        <v>472</v>
      </c>
      <c r="D32" s="438"/>
      <c r="E32" s="438"/>
      <c r="F32" s="442">
        <f t="shared" si="0"/>
        <v>0</v>
      </c>
    </row>
    <row r="33" spans="2:6">
      <c r="B33" s="441">
        <v>9</v>
      </c>
      <c r="C33" s="438" t="s">
        <v>473</v>
      </c>
      <c r="D33" s="438"/>
      <c r="E33" s="438"/>
      <c r="F33" s="442">
        <f t="shared" si="0"/>
        <v>0</v>
      </c>
    </row>
    <row r="34" spans="2:6">
      <c r="B34" s="441">
        <v>10</v>
      </c>
      <c r="C34" s="438" t="s">
        <v>474</v>
      </c>
      <c r="D34" s="438"/>
      <c r="E34" s="438"/>
      <c r="F34" s="442">
        <f t="shared" si="0"/>
        <v>0</v>
      </c>
    </row>
    <row r="35" spans="2:6">
      <c r="B35" s="441">
        <v>11</v>
      </c>
      <c r="C35" s="438" t="s">
        <v>475</v>
      </c>
      <c r="D35" s="438"/>
      <c r="E35" s="438"/>
      <c r="F35" s="442">
        <f t="shared" si="0"/>
        <v>0</v>
      </c>
    </row>
    <row r="36" spans="2:6">
      <c r="B36" s="441">
        <v>12</v>
      </c>
      <c r="C36" s="438" t="s">
        <v>476</v>
      </c>
      <c r="D36" s="438"/>
      <c r="E36" s="438"/>
      <c r="F36" s="442">
        <f t="shared" si="0"/>
        <v>0</v>
      </c>
    </row>
    <row r="37" spans="2:6" ht="15.75" thickBot="1">
      <c r="B37" s="443">
        <v>13</v>
      </c>
      <c r="C37" s="451" t="s">
        <v>477</v>
      </c>
      <c r="D37" s="451"/>
      <c r="E37" s="451"/>
      <c r="F37" s="442">
        <f t="shared" si="0"/>
        <v>0</v>
      </c>
    </row>
    <row r="38" spans="2:6">
      <c r="E38" s="2">
        <f>SUM(E25:E37)</f>
        <v>4360</v>
      </c>
      <c r="F38" s="2">
        <f>SUM(F25:F37)</f>
        <v>14350</v>
      </c>
    </row>
  </sheetData>
  <phoneticPr fontId="4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00B0F0"/>
  </sheetPr>
  <dimension ref="A2:G16"/>
  <sheetViews>
    <sheetView showGridLines="0" workbookViewId="0">
      <selection activeCell="G15" sqref="G15"/>
    </sheetView>
  </sheetViews>
  <sheetFormatPr defaultColWidth="8.7109375" defaultRowHeight="15"/>
  <cols>
    <col min="1" max="1" width="19.140625" customWidth="1"/>
    <col min="2" max="2" width="11.140625" bestFit="1" customWidth="1"/>
    <col min="3" max="3" width="19.5703125" bestFit="1" customWidth="1"/>
    <col min="4" max="4" width="19.5703125" customWidth="1"/>
    <col min="5" max="5" width="17" customWidth="1"/>
    <col min="6" max="6" width="18.5703125" customWidth="1"/>
    <col min="7" max="7" width="18.28515625" customWidth="1"/>
  </cols>
  <sheetData>
    <row r="2" spans="1:7">
      <c r="A2" t="s">
        <v>452</v>
      </c>
    </row>
    <row r="3" spans="1:7">
      <c r="A3" s="400" t="s">
        <v>374</v>
      </c>
      <c r="B3" s="400" t="s">
        <v>34</v>
      </c>
      <c r="C3" s="400" t="s">
        <v>413</v>
      </c>
      <c r="D3" s="435"/>
    </row>
    <row r="4" spans="1:7">
      <c r="A4" s="23" t="s">
        <v>409</v>
      </c>
      <c r="B4" s="8">
        <v>2</v>
      </c>
      <c r="C4" s="342">
        <v>6000</v>
      </c>
      <c r="D4" s="436"/>
    </row>
    <row r="5" spans="1:7">
      <c r="A5" s="23" t="s">
        <v>24</v>
      </c>
      <c r="B5" s="308">
        <v>0.2</v>
      </c>
      <c r="C5" s="388">
        <v>2400</v>
      </c>
      <c r="D5" s="436"/>
      <c r="E5" s="221"/>
    </row>
    <row r="6" spans="1:7">
      <c r="A6" s="23" t="s">
        <v>410</v>
      </c>
      <c r="B6" s="434" t="s">
        <v>412</v>
      </c>
      <c r="C6" s="388"/>
      <c r="D6" s="436"/>
      <c r="E6" s="221"/>
    </row>
    <row r="7" spans="1:7">
      <c r="A7" s="396" t="s">
        <v>411</v>
      </c>
      <c r="B7" s="497">
        <f>C4-C5</f>
        <v>3600</v>
      </c>
      <c r="C7" s="497"/>
      <c r="D7" s="437"/>
      <c r="E7" s="221"/>
    </row>
    <row r="10" spans="1:7">
      <c r="A10" t="s">
        <v>463</v>
      </c>
    </row>
    <row r="11" spans="1:7">
      <c r="A11" s="401" t="s">
        <v>407</v>
      </c>
      <c r="B11" s="401" t="s">
        <v>352</v>
      </c>
      <c r="C11" s="401" t="s">
        <v>466</v>
      </c>
      <c r="D11" s="401" t="s">
        <v>467</v>
      </c>
      <c r="E11" s="401" t="s">
        <v>468</v>
      </c>
      <c r="F11" s="401" t="s">
        <v>408</v>
      </c>
      <c r="G11" s="401" t="s">
        <v>408</v>
      </c>
    </row>
    <row r="12" spans="1:7">
      <c r="A12" s="247" t="s">
        <v>464</v>
      </c>
      <c r="B12" s="247">
        <v>1</v>
      </c>
      <c r="C12" s="342">
        <v>2500</v>
      </c>
      <c r="D12" s="342">
        <f>1.1*C12</f>
        <v>2750</v>
      </c>
      <c r="E12" s="342">
        <f>C12+D12</f>
        <v>5250</v>
      </c>
      <c r="F12" s="342">
        <f>E12*1.1</f>
        <v>5775.0000000000009</v>
      </c>
      <c r="G12" s="342">
        <f>F12*1.1</f>
        <v>6352.5000000000018</v>
      </c>
    </row>
    <row r="13" spans="1:7">
      <c r="A13" s="247" t="s">
        <v>465</v>
      </c>
      <c r="B13" s="247">
        <v>1</v>
      </c>
      <c r="C13" s="342">
        <v>2500</v>
      </c>
      <c r="D13" s="342">
        <f t="shared" ref="D13" si="0">1.1*C13</f>
        <v>2750</v>
      </c>
      <c r="E13" s="342">
        <f t="shared" ref="E13" si="1">C13+D13</f>
        <v>5250</v>
      </c>
      <c r="F13" s="342">
        <f t="shared" ref="F13:G13" si="2">E13*1.1</f>
        <v>5775.0000000000009</v>
      </c>
      <c r="G13" s="342">
        <f t="shared" si="2"/>
        <v>6352.5000000000018</v>
      </c>
    </row>
    <row r="14" spans="1:7">
      <c r="A14" s="247" t="s">
        <v>497</v>
      </c>
      <c r="B14" s="247">
        <v>1</v>
      </c>
      <c r="C14" s="342">
        <v>2500</v>
      </c>
      <c r="D14" s="342">
        <f t="shared" ref="D14" si="3">1.1*C14</f>
        <v>2750</v>
      </c>
      <c r="E14" s="342">
        <f t="shared" ref="E14" si="4">C14+D14</f>
        <v>5250</v>
      </c>
      <c r="F14" s="342">
        <f t="shared" ref="F14" si="5">E14*1.1</f>
        <v>5775.0000000000009</v>
      </c>
      <c r="G14" s="342">
        <f t="shared" ref="G14" si="6">F14*1.1</f>
        <v>6352.5000000000018</v>
      </c>
    </row>
    <row r="15" spans="1:7">
      <c r="A15" s="402" t="s">
        <v>414</v>
      </c>
      <c r="B15" s="402"/>
      <c r="C15" s="403">
        <f>SUM(C12:C14)</f>
        <v>7500</v>
      </c>
      <c r="D15" s="403"/>
      <c r="E15" s="403">
        <f>C15+D15</f>
        <v>7500</v>
      </c>
      <c r="F15" s="403">
        <f>E15*1.1</f>
        <v>8250</v>
      </c>
      <c r="G15" s="403">
        <f>F15*1.1</f>
        <v>9075</v>
      </c>
    </row>
    <row r="16" spans="1:7">
      <c r="A16" s="404" t="s">
        <v>415</v>
      </c>
      <c r="B16" s="404"/>
      <c r="C16" s="405"/>
      <c r="D16" s="405">
        <f>D15*B16</f>
        <v>0</v>
      </c>
      <c r="E16" s="405">
        <f>C16+D16</f>
        <v>0</v>
      </c>
      <c r="F16" s="405">
        <f>E16*1.1</f>
        <v>0</v>
      </c>
      <c r="G16" s="405">
        <f>F16*1.1</f>
        <v>0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L80"/>
  <sheetViews>
    <sheetView topLeftCell="A25" workbookViewId="0">
      <selection activeCell="G72" sqref="G72"/>
    </sheetView>
  </sheetViews>
  <sheetFormatPr defaultRowHeight="15"/>
  <cols>
    <col min="1" max="1" width="44.85546875" customWidth="1"/>
    <col min="2" max="2" width="23.85546875" style="21" bestFit="1" customWidth="1"/>
    <col min="3" max="3" width="22.42578125" style="21" bestFit="1" customWidth="1"/>
    <col min="4" max="4" width="21.5703125" bestFit="1" customWidth="1"/>
    <col min="5" max="5" width="22.85546875" style="28" bestFit="1" customWidth="1"/>
    <col min="6" max="6" width="17.28515625" style="28" bestFit="1" customWidth="1"/>
    <col min="7" max="7" width="18.85546875" bestFit="1" customWidth="1"/>
    <col min="8" max="9" width="17.7109375" bestFit="1" customWidth="1"/>
    <col min="10" max="10" width="12.140625" bestFit="1" customWidth="1"/>
    <col min="11" max="11" width="14.7109375" bestFit="1" customWidth="1"/>
    <col min="12" max="12" width="12.140625" bestFit="1" customWidth="1"/>
  </cols>
  <sheetData>
    <row r="1" spans="1:9" ht="39" thickBot="1">
      <c r="A1" s="32" t="s">
        <v>98</v>
      </c>
      <c r="B1" s="32" t="s">
        <v>99</v>
      </c>
      <c r="C1" s="32"/>
      <c r="D1" s="33" t="s">
        <v>100</v>
      </c>
      <c r="E1" s="33" t="s">
        <v>101</v>
      </c>
      <c r="F1" s="34">
        <v>1.7250000000000001</v>
      </c>
      <c r="G1" s="35" t="str">
        <f>RIGHT(E1,"12")</f>
        <v xml:space="preserve"> R$ 3.396,60</v>
      </c>
      <c r="H1" s="36"/>
    </row>
    <row r="2" spans="1:9" ht="72">
      <c r="A2" s="37" t="s">
        <v>102</v>
      </c>
      <c r="B2" s="37" t="s">
        <v>103</v>
      </c>
      <c r="C2" s="37"/>
      <c r="D2" s="38" t="s">
        <v>104</v>
      </c>
    </row>
    <row r="3" spans="1:9" ht="63">
      <c r="B3" s="37" t="s">
        <v>105</v>
      </c>
      <c r="C3" s="37"/>
      <c r="D3" s="39" t="s">
        <v>106</v>
      </c>
    </row>
    <row r="4" spans="1:9" ht="100.5">
      <c r="A4" s="40" t="s">
        <v>107</v>
      </c>
      <c r="B4" s="37"/>
      <c r="C4" s="37"/>
    </row>
    <row r="5" spans="1:9">
      <c r="B5" s="37"/>
      <c r="C5" s="37"/>
    </row>
    <row r="6" spans="1:9">
      <c r="A6" t="s">
        <v>108</v>
      </c>
      <c r="B6" s="37"/>
      <c r="C6" s="37"/>
    </row>
    <row r="7" spans="1:9">
      <c r="A7" t="s">
        <v>109</v>
      </c>
      <c r="B7" s="37"/>
      <c r="C7" s="37"/>
    </row>
    <row r="8" spans="1:9" ht="15.75" thickBot="1">
      <c r="E8" s="41" t="s">
        <v>110</v>
      </c>
      <c r="F8" s="41"/>
      <c r="G8" s="42"/>
      <c r="H8" s="42"/>
    </row>
    <row r="9" spans="1:9" ht="26.25" thickBot="1">
      <c r="A9" s="43" t="s">
        <v>111</v>
      </c>
      <c r="B9" s="44" t="s">
        <v>112</v>
      </c>
      <c r="C9" s="44"/>
      <c r="D9" s="45" t="s">
        <v>113</v>
      </c>
      <c r="E9" s="46" t="s">
        <v>114</v>
      </c>
      <c r="F9" s="46" t="s">
        <v>115</v>
      </c>
      <c r="G9" s="47" t="s">
        <v>116</v>
      </c>
      <c r="H9" s="48" t="s">
        <v>117</v>
      </c>
      <c r="I9" s="49" t="s">
        <v>118</v>
      </c>
    </row>
    <row r="10" spans="1:9" ht="15.75" thickBot="1">
      <c r="A10" s="310" t="s">
        <v>119</v>
      </c>
      <c r="B10" s="51">
        <v>13339.85</v>
      </c>
      <c r="C10" s="51" t="str">
        <f t="shared" ref="C10:C24" si="0">LEFT(A10,5)</f>
        <v xml:space="preserve">1,72 </v>
      </c>
      <c r="D10" s="50" t="s">
        <v>120</v>
      </c>
      <c r="E10" s="52">
        <f t="shared" ref="E10:E23" si="1">B10-F10</f>
        <v>9953.0952173913047</v>
      </c>
      <c r="F10" s="53">
        <f t="shared" ref="F10:F23" si="2">C10*$G$1/$F$1</f>
        <v>3386.7547826086957</v>
      </c>
      <c r="G10" s="54">
        <f t="shared" ref="G10:G23" si="3">F10*10%</f>
        <v>338.67547826086957</v>
      </c>
      <c r="H10" s="54">
        <f>F10*30%</f>
        <v>1016.0264347826087</v>
      </c>
      <c r="I10" s="54">
        <f>F10-G10-H10</f>
        <v>2032.0528695652174</v>
      </c>
    </row>
    <row r="11" spans="1:9" ht="15.75" thickBot="1">
      <c r="A11" s="310" t="s">
        <v>121</v>
      </c>
      <c r="B11" s="51">
        <v>14344.96</v>
      </c>
      <c r="C11" s="51" t="str">
        <f t="shared" si="0"/>
        <v xml:space="preserve">2,41 </v>
      </c>
      <c r="D11" s="50" t="s">
        <v>122</v>
      </c>
      <c r="E11" s="52">
        <f t="shared" si="1"/>
        <v>9599.565217391304</v>
      </c>
      <c r="F11" s="53">
        <f t="shared" si="2"/>
        <v>4745.394782608696</v>
      </c>
      <c r="G11" s="54">
        <f t="shared" si="3"/>
        <v>474.5394782608696</v>
      </c>
      <c r="H11" s="54">
        <f t="shared" ref="H11:H23" si="4">F11*30%</f>
        <v>1423.6184347826088</v>
      </c>
      <c r="I11" s="54">
        <f t="shared" ref="I11:I23" si="5">F11-G11-H11</f>
        <v>2847.2368695652171</v>
      </c>
    </row>
    <row r="12" spans="1:9" ht="15.75" thickBot="1">
      <c r="A12" s="310" t="s">
        <v>123</v>
      </c>
      <c r="B12" s="51">
        <v>16916.900000000001</v>
      </c>
      <c r="C12" s="51" t="str">
        <f t="shared" si="0"/>
        <v xml:space="preserve">3,45 </v>
      </c>
      <c r="D12" s="50" t="s">
        <v>124</v>
      </c>
      <c r="E12" s="52">
        <f t="shared" si="1"/>
        <v>10123.700000000001</v>
      </c>
      <c r="F12" s="53">
        <f t="shared" si="2"/>
        <v>6793.2</v>
      </c>
      <c r="G12" s="54">
        <f t="shared" si="3"/>
        <v>679.32</v>
      </c>
      <c r="H12" s="54">
        <f t="shared" si="4"/>
        <v>2037.9599999999998</v>
      </c>
      <c r="I12" s="54">
        <f t="shared" si="5"/>
        <v>4075.92</v>
      </c>
    </row>
    <row r="13" spans="1:9" ht="15.75" thickBot="1">
      <c r="A13" s="310" t="s">
        <v>125</v>
      </c>
      <c r="B13" s="51">
        <v>21639.46</v>
      </c>
      <c r="C13" s="51" t="str">
        <f t="shared" si="0"/>
        <v xml:space="preserve">4,14 </v>
      </c>
      <c r="D13" s="50" t="s">
        <v>126</v>
      </c>
      <c r="E13" s="52">
        <f t="shared" si="1"/>
        <v>13487.619999999999</v>
      </c>
      <c r="F13" s="53">
        <f t="shared" si="2"/>
        <v>8151.8399999999992</v>
      </c>
      <c r="G13" s="54">
        <f t="shared" si="3"/>
        <v>815.18399999999997</v>
      </c>
      <c r="H13" s="54">
        <f t="shared" si="4"/>
        <v>2445.5519999999997</v>
      </c>
      <c r="I13" s="54">
        <f t="shared" si="5"/>
        <v>4891.1039999999994</v>
      </c>
    </row>
    <row r="14" spans="1:9" ht="15.75" thickBot="1">
      <c r="A14" s="310" t="s">
        <v>127</v>
      </c>
      <c r="B14" s="51">
        <v>22618.48</v>
      </c>
      <c r="C14" s="51" t="str">
        <f t="shared" si="0"/>
        <v xml:space="preserve">4,83 </v>
      </c>
      <c r="D14" s="50" t="s">
        <v>128</v>
      </c>
      <c r="E14" s="52">
        <f t="shared" si="1"/>
        <v>13108</v>
      </c>
      <c r="F14" s="53">
        <f t="shared" si="2"/>
        <v>9510.48</v>
      </c>
      <c r="G14" s="54">
        <f t="shared" si="3"/>
        <v>951.048</v>
      </c>
      <c r="H14" s="54">
        <f t="shared" si="4"/>
        <v>2853.1439999999998</v>
      </c>
      <c r="I14" s="54">
        <f t="shared" si="5"/>
        <v>5706.2879999999986</v>
      </c>
    </row>
    <row r="15" spans="1:9" ht="15.75" thickBot="1">
      <c r="A15" s="310" t="s">
        <v>129</v>
      </c>
      <c r="B15" s="51">
        <v>24083.65</v>
      </c>
      <c r="C15" s="51" t="str">
        <f t="shared" si="0"/>
        <v xml:space="preserve">5,17 </v>
      </c>
      <c r="D15" s="50" t="s">
        <v>130</v>
      </c>
      <c r="E15" s="52">
        <f t="shared" si="1"/>
        <v>13903.695217391307</v>
      </c>
      <c r="F15" s="53">
        <f t="shared" si="2"/>
        <v>10179.954782608695</v>
      </c>
      <c r="G15" s="54">
        <f t="shared" si="3"/>
        <v>1017.9954782608695</v>
      </c>
      <c r="H15" s="54">
        <f t="shared" si="4"/>
        <v>3053.9864347826083</v>
      </c>
      <c r="I15" s="54">
        <f t="shared" si="5"/>
        <v>6107.9728695652175</v>
      </c>
    </row>
    <row r="16" spans="1:9" ht="15.75" thickBot="1">
      <c r="A16" s="310" t="s">
        <v>131</v>
      </c>
      <c r="B16" s="51">
        <v>25862.9</v>
      </c>
      <c r="C16" s="51" t="str">
        <f t="shared" si="0"/>
        <v xml:space="preserve">6,21 </v>
      </c>
      <c r="D16" s="50" t="s">
        <v>132</v>
      </c>
      <c r="E16" s="52">
        <f t="shared" si="1"/>
        <v>13635.140000000003</v>
      </c>
      <c r="F16" s="53">
        <f t="shared" si="2"/>
        <v>12227.759999999998</v>
      </c>
      <c r="G16" s="54">
        <f t="shared" si="3"/>
        <v>1222.7759999999998</v>
      </c>
      <c r="H16" s="54">
        <f t="shared" si="4"/>
        <v>3668.3279999999995</v>
      </c>
      <c r="I16" s="54">
        <f t="shared" si="5"/>
        <v>7336.655999999999</v>
      </c>
    </row>
    <row r="17" spans="1:12" ht="15.75" thickBot="1">
      <c r="A17" s="310" t="s">
        <v>133</v>
      </c>
      <c r="B17" s="51">
        <v>27597</v>
      </c>
      <c r="C17" s="51" t="str">
        <f t="shared" si="0"/>
        <v xml:space="preserve">6,55 </v>
      </c>
      <c r="D17" s="50" t="s">
        <v>134</v>
      </c>
      <c r="E17" s="52">
        <f t="shared" si="1"/>
        <v>14699.765217391305</v>
      </c>
      <c r="F17" s="53">
        <f t="shared" si="2"/>
        <v>12897.234782608695</v>
      </c>
      <c r="G17" s="54">
        <f t="shared" si="3"/>
        <v>1289.7234782608696</v>
      </c>
      <c r="H17" s="54">
        <f t="shared" si="4"/>
        <v>3869.1704347826085</v>
      </c>
      <c r="I17" s="54">
        <f t="shared" si="5"/>
        <v>7738.3408695652161</v>
      </c>
    </row>
    <row r="18" spans="1:12" ht="15.75" thickBot="1">
      <c r="A18" s="310" t="s">
        <v>135</v>
      </c>
      <c r="B18" s="51">
        <v>35957.629999999997</v>
      </c>
      <c r="C18" s="51" t="str">
        <f t="shared" si="0"/>
        <v xml:space="preserve">7,59 </v>
      </c>
      <c r="D18" s="50" t="s">
        <v>136</v>
      </c>
      <c r="E18" s="52">
        <f t="shared" si="1"/>
        <v>21012.589999999997</v>
      </c>
      <c r="F18" s="53">
        <f t="shared" si="2"/>
        <v>14945.039999999999</v>
      </c>
      <c r="G18" s="54">
        <f t="shared" si="3"/>
        <v>1494.5039999999999</v>
      </c>
      <c r="H18" s="54">
        <f t="shared" si="4"/>
        <v>4483.5119999999997</v>
      </c>
      <c r="I18" s="54">
        <f t="shared" si="5"/>
        <v>8967.0240000000013</v>
      </c>
    </row>
    <row r="19" spans="1:12" ht="15.75" thickBot="1">
      <c r="A19" s="310" t="s">
        <v>137</v>
      </c>
      <c r="B19" s="51">
        <v>35226.14</v>
      </c>
      <c r="C19" s="51" t="str">
        <f t="shared" si="0"/>
        <v xml:space="preserve">8,28 </v>
      </c>
      <c r="D19" s="50" t="s">
        <v>138</v>
      </c>
      <c r="E19" s="52">
        <f t="shared" si="1"/>
        <v>18922.46</v>
      </c>
      <c r="F19" s="53">
        <f t="shared" si="2"/>
        <v>16303.679999999998</v>
      </c>
      <c r="G19" s="54">
        <f t="shared" si="3"/>
        <v>1630.3679999999999</v>
      </c>
      <c r="H19" s="54">
        <f t="shared" si="4"/>
        <v>4891.1039999999994</v>
      </c>
      <c r="I19" s="54">
        <f t="shared" si="5"/>
        <v>9782.2079999999987</v>
      </c>
    </row>
    <row r="20" spans="1:12" ht="15.75" thickBot="1">
      <c r="A20" s="310" t="s">
        <v>139</v>
      </c>
      <c r="B20" s="51">
        <v>39382.35</v>
      </c>
      <c r="C20" s="51" t="str">
        <f t="shared" si="0"/>
        <v xml:space="preserve">9,31 </v>
      </c>
      <c r="D20" s="50" t="s">
        <v>140</v>
      </c>
      <c r="E20" s="52">
        <f t="shared" si="1"/>
        <v>21050.555217391302</v>
      </c>
      <c r="F20" s="53">
        <f t="shared" si="2"/>
        <v>18331.794782608697</v>
      </c>
      <c r="G20" s="54">
        <f t="shared" si="3"/>
        <v>1833.1794782608697</v>
      </c>
      <c r="H20" s="54">
        <f t="shared" si="4"/>
        <v>5499.5384347826084</v>
      </c>
      <c r="I20" s="54">
        <f t="shared" si="5"/>
        <v>10999.076869565219</v>
      </c>
    </row>
    <row r="21" spans="1:12" ht="15.75" thickBot="1">
      <c r="A21" s="310" t="s">
        <v>141</v>
      </c>
      <c r="B21" s="51">
        <v>40706.74</v>
      </c>
      <c r="C21" s="51" t="str">
        <f t="shared" si="0"/>
        <v>10,69</v>
      </c>
      <c r="D21" s="50" t="s">
        <v>142</v>
      </c>
      <c r="E21" s="52">
        <f t="shared" si="1"/>
        <v>19657.665217391306</v>
      </c>
      <c r="F21" s="53">
        <f t="shared" si="2"/>
        <v>21049.074782608692</v>
      </c>
      <c r="G21" s="54">
        <f t="shared" si="3"/>
        <v>2104.9074782608691</v>
      </c>
      <c r="H21" s="54">
        <f t="shared" si="4"/>
        <v>6314.7224347826077</v>
      </c>
      <c r="I21" s="54">
        <f t="shared" si="5"/>
        <v>12629.444869565214</v>
      </c>
    </row>
    <row r="22" spans="1:12" ht="15.75" thickBot="1">
      <c r="A22" s="310" t="s">
        <v>143</v>
      </c>
      <c r="B22" s="51">
        <v>54137.27</v>
      </c>
      <c r="C22" s="51" t="str">
        <f t="shared" si="0"/>
        <v>12,42</v>
      </c>
      <c r="D22" s="50" t="s">
        <v>144</v>
      </c>
      <c r="E22" s="52">
        <f t="shared" si="1"/>
        <v>29681.75</v>
      </c>
      <c r="F22" s="53">
        <f t="shared" si="2"/>
        <v>24455.519999999997</v>
      </c>
      <c r="G22" s="54">
        <f t="shared" si="3"/>
        <v>2445.5519999999997</v>
      </c>
      <c r="H22" s="54">
        <f t="shared" si="4"/>
        <v>7336.655999999999</v>
      </c>
      <c r="I22" s="54">
        <f t="shared" si="5"/>
        <v>14673.311999999998</v>
      </c>
    </row>
    <row r="23" spans="1:12" ht="15.75" thickBot="1">
      <c r="A23" s="310" t="s">
        <v>145</v>
      </c>
      <c r="B23" s="51">
        <v>59076.35</v>
      </c>
      <c r="C23" s="51" t="str">
        <f t="shared" si="0"/>
        <v>14,49</v>
      </c>
      <c r="D23" s="50" t="s">
        <v>146</v>
      </c>
      <c r="E23" s="52">
        <f t="shared" si="1"/>
        <v>30544.910000000003</v>
      </c>
      <c r="F23" s="53">
        <f t="shared" si="2"/>
        <v>28531.439999999995</v>
      </c>
      <c r="G23" s="54">
        <f t="shared" si="3"/>
        <v>2853.1439999999998</v>
      </c>
      <c r="H23" s="54">
        <f t="shared" si="4"/>
        <v>8559.4319999999989</v>
      </c>
      <c r="I23" s="54">
        <f t="shared" si="5"/>
        <v>17118.863999999994</v>
      </c>
    </row>
    <row r="24" spans="1:12">
      <c r="B24" s="55"/>
      <c r="C24" s="56" t="str">
        <f t="shared" si="0"/>
        <v/>
      </c>
      <c r="E24" s="57"/>
      <c r="F24" s="57"/>
      <c r="G24" s="7"/>
      <c r="H24" s="7"/>
    </row>
    <row r="25" spans="1:12" ht="25.5">
      <c r="A25" s="32" t="s">
        <v>147</v>
      </c>
      <c r="B25" s="55"/>
      <c r="C25" s="56"/>
      <c r="E25" s="57"/>
      <c r="F25" s="57"/>
      <c r="G25" s="7"/>
      <c r="H25" s="7"/>
    </row>
    <row r="26" spans="1:12" ht="27">
      <c r="A26" s="37" t="s">
        <v>148</v>
      </c>
      <c r="B26" s="55"/>
      <c r="C26" s="56"/>
      <c r="E26" s="57"/>
      <c r="F26" s="57"/>
      <c r="G26" s="7"/>
      <c r="H26" s="7"/>
    </row>
    <row r="27" spans="1:12" ht="15.75" thickBot="1">
      <c r="B27" s="55"/>
      <c r="C27" s="56"/>
      <c r="E27" s="41" t="s">
        <v>110</v>
      </c>
      <c r="F27" s="41"/>
      <c r="G27" s="42"/>
      <c r="H27" s="42"/>
    </row>
    <row r="28" spans="1:12" ht="26.25" thickBot="1">
      <c r="A28" s="58" t="s">
        <v>149</v>
      </c>
      <c r="B28" s="58" t="s">
        <v>150</v>
      </c>
      <c r="C28" s="59"/>
      <c r="D28" s="58" t="s">
        <v>151</v>
      </c>
      <c r="E28" s="60" t="s">
        <v>114</v>
      </c>
      <c r="F28" s="60" t="s">
        <v>115</v>
      </c>
      <c r="G28" s="60" t="s">
        <v>116</v>
      </c>
      <c r="H28" s="61" t="s">
        <v>117</v>
      </c>
      <c r="I28" s="49" t="s">
        <v>313</v>
      </c>
      <c r="K28" s="61"/>
      <c r="L28" s="7"/>
    </row>
    <row r="29" spans="1:12" ht="15.75" thickBot="1">
      <c r="A29" s="312" t="s">
        <v>152</v>
      </c>
      <c r="B29" s="63">
        <v>12801.6</v>
      </c>
      <c r="C29" s="63" t="str">
        <f t="shared" ref="C29:C36" si="6">LEFT(A29,5)</f>
        <v xml:space="preserve">1,73 </v>
      </c>
      <c r="D29" s="62" t="s">
        <v>120</v>
      </c>
      <c r="E29" s="52">
        <f t="shared" ref="E29:E34" si="7">B29-F29</f>
        <v>9395.1547826086971</v>
      </c>
      <c r="F29" s="52">
        <f t="shared" ref="F29:F34" si="8">C29*$G$1/$F$1</f>
        <v>3406.4452173913037</v>
      </c>
      <c r="G29" s="54">
        <f>F29*10%</f>
        <v>340.64452173913037</v>
      </c>
      <c r="H29" s="54">
        <f t="shared" ref="H29:H34" si="9">F29*15%</f>
        <v>510.96678260869555</v>
      </c>
      <c r="I29" s="54">
        <f>F29*70%</f>
        <v>2384.5116521739124</v>
      </c>
      <c r="J29" s="7"/>
      <c r="L29" s="7"/>
    </row>
    <row r="30" spans="1:12" ht="15.75" thickBot="1">
      <c r="A30" s="312" t="s">
        <v>121</v>
      </c>
      <c r="B30" s="63">
        <v>14267.35</v>
      </c>
      <c r="C30" s="63" t="str">
        <f t="shared" si="6"/>
        <v xml:space="preserve">2,41 </v>
      </c>
      <c r="D30" s="62" t="s">
        <v>122</v>
      </c>
      <c r="E30" s="52">
        <f t="shared" si="7"/>
        <v>9521.9552173913034</v>
      </c>
      <c r="F30" s="52">
        <f t="shared" si="8"/>
        <v>4745.394782608696</v>
      </c>
      <c r="G30" s="54">
        <f t="shared" ref="G30:G34" si="10">F30*10%</f>
        <v>474.5394782608696</v>
      </c>
      <c r="H30" s="54">
        <f t="shared" si="9"/>
        <v>711.8092173913044</v>
      </c>
      <c r="I30" s="54">
        <f t="shared" ref="I30:I34" si="11">F30*70%</f>
        <v>3321.7763478260872</v>
      </c>
      <c r="L30" s="7"/>
    </row>
    <row r="31" spans="1:12" ht="15.75" thickBot="1">
      <c r="A31" s="313" t="s">
        <v>125</v>
      </c>
      <c r="B31" s="63">
        <v>20682.93</v>
      </c>
      <c r="C31" s="63" t="str">
        <f t="shared" si="6"/>
        <v xml:space="preserve">4,14 </v>
      </c>
      <c r="D31" s="62" t="s">
        <v>126</v>
      </c>
      <c r="E31" s="52">
        <f t="shared" si="7"/>
        <v>12531.09</v>
      </c>
      <c r="F31" s="52">
        <f t="shared" si="8"/>
        <v>8151.8399999999992</v>
      </c>
      <c r="G31" s="54">
        <f t="shared" si="10"/>
        <v>815.18399999999997</v>
      </c>
      <c r="H31" s="54">
        <f t="shared" si="9"/>
        <v>1222.7759999999998</v>
      </c>
      <c r="I31" s="54">
        <f t="shared" si="11"/>
        <v>5706.2879999999996</v>
      </c>
      <c r="L31" s="7"/>
    </row>
    <row r="32" spans="1:12" ht="15.75" thickBot="1">
      <c r="A32" s="314" t="s">
        <v>131</v>
      </c>
      <c r="B32" s="63">
        <v>25556.66</v>
      </c>
      <c r="C32" s="63" t="str">
        <f t="shared" si="6"/>
        <v xml:space="preserve">6,21 </v>
      </c>
      <c r="D32" s="62" t="s">
        <v>132</v>
      </c>
      <c r="E32" s="52">
        <f t="shared" si="7"/>
        <v>13328.900000000001</v>
      </c>
      <c r="F32" s="52">
        <f t="shared" si="8"/>
        <v>12227.759999999998</v>
      </c>
      <c r="G32" s="54">
        <f t="shared" si="10"/>
        <v>1222.7759999999998</v>
      </c>
      <c r="H32" s="54">
        <f t="shared" si="9"/>
        <v>1834.1639999999998</v>
      </c>
      <c r="I32" s="54">
        <f t="shared" si="11"/>
        <v>8559.4319999999989</v>
      </c>
      <c r="K32" s="7"/>
      <c r="L32" s="7"/>
    </row>
    <row r="33" spans="1:10" ht="15.75" thickBot="1">
      <c r="A33" s="314" t="s">
        <v>135</v>
      </c>
      <c r="B33" s="63">
        <v>33043.199999999997</v>
      </c>
      <c r="C33" s="63" t="str">
        <f t="shared" si="6"/>
        <v xml:space="preserve">7,59 </v>
      </c>
      <c r="D33" s="62" t="s">
        <v>136</v>
      </c>
      <c r="E33" s="52">
        <f t="shared" si="7"/>
        <v>18098.159999999996</v>
      </c>
      <c r="F33" s="52">
        <f t="shared" si="8"/>
        <v>14945.039999999999</v>
      </c>
      <c r="G33" s="54">
        <f t="shared" si="10"/>
        <v>1494.5039999999999</v>
      </c>
      <c r="H33" s="54">
        <f t="shared" si="9"/>
        <v>2241.7559999999999</v>
      </c>
      <c r="I33" s="54">
        <f t="shared" si="11"/>
        <v>10461.527999999998</v>
      </c>
    </row>
    <row r="34" spans="1:10" ht="15.75" thickBot="1">
      <c r="A34" s="315" t="s">
        <v>145</v>
      </c>
      <c r="B34" s="64">
        <v>57036.31</v>
      </c>
      <c r="C34" s="64" t="str">
        <f t="shared" si="6"/>
        <v>14,49</v>
      </c>
      <c r="D34" s="65">
        <v>1564.92</v>
      </c>
      <c r="E34" s="66">
        <f t="shared" si="7"/>
        <v>28504.870000000003</v>
      </c>
      <c r="F34" s="66">
        <f t="shared" si="8"/>
        <v>28531.439999999995</v>
      </c>
      <c r="G34" s="67">
        <f t="shared" si="10"/>
        <v>2853.1439999999998</v>
      </c>
      <c r="H34" s="54">
        <f t="shared" si="9"/>
        <v>4279.7159999999994</v>
      </c>
      <c r="I34" s="54">
        <f t="shared" si="11"/>
        <v>19972.007999999994</v>
      </c>
    </row>
    <row r="35" spans="1:10" ht="15.75" thickBot="1">
      <c r="A35" s="68" t="s">
        <v>22</v>
      </c>
      <c r="B35" s="69">
        <f>SUM(B29:B34)</f>
        <v>163388.04999999999</v>
      </c>
      <c r="C35" s="70" t="str">
        <f t="shared" si="6"/>
        <v>TOTAL</v>
      </c>
      <c r="D35" s="71"/>
      <c r="E35" s="72">
        <f>SUM(E29:E34)</f>
        <v>91380.13</v>
      </c>
      <c r="F35" s="72">
        <f t="shared" ref="F35:I35" si="12">SUM(F29:F34)</f>
        <v>72007.919999999984</v>
      </c>
      <c r="G35" s="73">
        <f t="shared" si="12"/>
        <v>7200.7919999999995</v>
      </c>
      <c r="H35" s="73">
        <f t="shared" si="12"/>
        <v>10801.187999999998</v>
      </c>
      <c r="I35" s="73">
        <f t="shared" si="12"/>
        <v>50405.543999999994</v>
      </c>
    </row>
    <row r="36" spans="1:10" ht="15.75" thickBot="1">
      <c r="A36" s="74" t="s">
        <v>153</v>
      </c>
      <c r="B36" s="69">
        <f>B35/6</f>
        <v>27231.341666666664</v>
      </c>
      <c r="C36" s="75" t="str">
        <f t="shared" si="6"/>
        <v>MÉDIO</v>
      </c>
      <c r="D36" s="76"/>
      <c r="E36" s="77">
        <f>E35/6</f>
        <v>15230.021666666667</v>
      </c>
      <c r="F36" s="77">
        <f t="shared" ref="F36:I36" si="13">F35/6</f>
        <v>12001.319999999998</v>
      </c>
      <c r="G36" s="78">
        <f t="shared" si="13"/>
        <v>1200.1319999999998</v>
      </c>
      <c r="H36" s="78">
        <f t="shared" si="13"/>
        <v>1800.1979999999996</v>
      </c>
      <c r="I36" s="78">
        <f t="shared" si="13"/>
        <v>8400.9239999999991</v>
      </c>
    </row>
    <row r="37" spans="1:10">
      <c r="B37" s="55"/>
      <c r="C37" s="56"/>
      <c r="D37" s="7">
        <f>E36+G36+H36</f>
        <v>18230.351666666669</v>
      </c>
      <c r="E37" s="57"/>
      <c r="F37" s="57"/>
      <c r="I37" s="7"/>
    </row>
    <row r="38" spans="1:10" ht="25.5">
      <c r="A38" s="311" t="s">
        <v>154</v>
      </c>
      <c r="B38" s="55"/>
      <c r="C38" s="56"/>
      <c r="D38" s="7"/>
      <c r="E38" s="57"/>
      <c r="F38" s="57"/>
      <c r="I38" s="7"/>
    </row>
    <row r="39" spans="1:10" ht="15.75" thickBot="1">
      <c r="B39" s="55"/>
      <c r="C39" s="56"/>
      <c r="E39" s="41" t="s">
        <v>155</v>
      </c>
      <c r="F39" s="41"/>
      <c r="G39" s="42"/>
      <c r="H39" s="42"/>
    </row>
    <row r="40" spans="1:10" ht="26.25" thickBot="1">
      <c r="A40" s="58" t="s">
        <v>156</v>
      </c>
      <c r="B40" s="58" t="s">
        <v>157</v>
      </c>
      <c r="C40" s="59"/>
      <c r="D40" s="79"/>
      <c r="E40" s="60" t="s">
        <v>114</v>
      </c>
      <c r="F40" s="60" t="s">
        <v>115</v>
      </c>
      <c r="G40" s="80" t="s">
        <v>116</v>
      </c>
      <c r="H40" s="61" t="s">
        <v>117</v>
      </c>
      <c r="I40" s="49" t="s">
        <v>312</v>
      </c>
    </row>
    <row r="41" spans="1:10" ht="15.75" thickBot="1">
      <c r="A41" s="62" t="s">
        <v>158</v>
      </c>
      <c r="B41" s="63">
        <v>64185.71</v>
      </c>
      <c r="C41" s="63" t="str">
        <f t="shared" ref="C41:C51" si="14">LEFT(A41,5)</f>
        <v>16,56</v>
      </c>
      <c r="D41" s="81"/>
      <c r="E41" s="52">
        <f t="shared" ref="E41:E46" si="15">B41-F41</f>
        <v>31578.350000000002</v>
      </c>
      <c r="F41" s="53">
        <f t="shared" ref="F41:F46" si="16">C41*$G$1/$F$1</f>
        <v>32607.359999999997</v>
      </c>
      <c r="G41" s="54">
        <f>F41*10%</f>
        <v>3260.7359999999999</v>
      </c>
      <c r="H41" s="54">
        <f t="shared" ref="H41:H46" si="17">F41*15%</f>
        <v>4891.1039999999994</v>
      </c>
      <c r="I41" s="54">
        <f>F41*70%</f>
        <v>22825.151999999998</v>
      </c>
      <c r="J41" s="7"/>
    </row>
    <row r="42" spans="1:10" ht="15.75" thickBot="1">
      <c r="A42" s="62" t="s">
        <v>159</v>
      </c>
      <c r="B42" s="63">
        <v>72369.11</v>
      </c>
      <c r="C42" s="63" t="str">
        <f t="shared" si="14"/>
        <v>18,63</v>
      </c>
      <c r="D42" s="81"/>
      <c r="E42" s="52">
        <f t="shared" si="15"/>
        <v>35685.83</v>
      </c>
      <c r="F42" s="53">
        <f t="shared" si="16"/>
        <v>36683.279999999999</v>
      </c>
      <c r="G42" s="54">
        <f t="shared" ref="G42:G46" si="18">F42*10%</f>
        <v>3668.328</v>
      </c>
      <c r="H42" s="54">
        <f t="shared" si="17"/>
        <v>5502.4919999999993</v>
      </c>
      <c r="I42" s="54">
        <f t="shared" ref="I42:I46" si="19">F42*70%</f>
        <v>25678.295999999998</v>
      </c>
    </row>
    <row r="43" spans="1:10" ht="15.75" thickBot="1">
      <c r="A43" s="62" t="s">
        <v>160</v>
      </c>
      <c r="B43" s="63">
        <v>82345.33</v>
      </c>
      <c r="C43" s="63" t="str">
        <f t="shared" si="14"/>
        <v>22,08</v>
      </c>
      <c r="D43" s="81"/>
      <c r="E43" s="52">
        <f t="shared" si="15"/>
        <v>38868.850000000013</v>
      </c>
      <c r="F43" s="53">
        <f t="shared" si="16"/>
        <v>43476.479999999989</v>
      </c>
      <c r="G43" s="54">
        <f t="shared" si="18"/>
        <v>4347.6479999999992</v>
      </c>
      <c r="H43" s="54">
        <f t="shared" si="17"/>
        <v>6521.4719999999979</v>
      </c>
      <c r="I43" s="54">
        <f t="shared" si="19"/>
        <v>30433.535999999989</v>
      </c>
    </row>
    <row r="44" spans="1:10" ht="15.75" thickBot="1">
      <c r="A44" s="62" t="s">
        <v>161</v>
      </c>
      <c r="B44" s="63">
        <v>94427.07</v>
      </c>
      <c r="C44" s="63" t="str">
        <f t="shared" si="14"/>
        <v>26,22</v>
      </c>
      <c r="D44" s="81"/>
      <c r="E44" s="52">
        <f t="shared" si="15"/>
        <v>42798.750000000007</v>
      </c>
      <c r="F44" s="53">
        <f t="shared" si="16"/>
        <v>51628.32</v>
      </c>
      <c r="G44" s="54">
        <f t="shared" si="18"/>
        <v>5162.8320000000003</v>
      </c>
      <c r="H44" s="54">
        <f t="shared" si="17"/>
        <v>7744.2479999999996</v>
      </c>
      <c r="I44" s="54">
        <f t="shared" si="19"/>
        <v>36139.824000000001</v>
      </c>
    </row>
    <row r="45" spans="1:10" ht="15.75" thickBot="1">
      <c r="A45" s="62" t="s">
        <v>162</v>
      </c>
      <c r="B45" s="63">
        <v>201718.69</v>
      </c>
      <c r="C45" s="63" t="str">
        <f t="shared" si="14"/>
        <v>55,89</v>
      </c>
      <c r="D45" s="81"/>
      <c r="E45" s="52">
        <f t="shared" si="15"/>
        <v>91668.85000000002</v>
      </c>
      <c r="F45" s="53">
        <f t="shared" si="16"/>
        <v>110049.83999999998</v>
      </c>
      <c r="G45" s="54">
        <f t="shared" si="18"/>
        <v>11004.983999999999</v>
      </c>
      <c r="H45" s="54">
        <f t="shared" si="17"/>
        <v>16507.475999999995</v>
      </c>
      <c r="I45" s="54">
        <f t="shared" si="19"/>
        <v>77034.887999999977</v>
      </c>
    </row>
    <row r="46" spans="1:10" ht="15.75" thickBot="1">
      <c r="A46" s="62" t="s">
        <v>163</v>
      </c>
      <c r="B46" s="63">
        <v>241419.59</v>
      </c>
      <c r="C46" s="63" t="str">
        <f t="shared" si="14"/>
        <v>69,00</v>
      </c>
      <c r="D46" s="81"/>
      <c r="E46" s="52">
        <f t="shared" si="15"/>
        <v>105555.59</v>
      </c>
      <c r="F46" s="53">
        <f t="shared" si="16"/>
        <v>135864</v>
      </c>
      <c r="G46" s="54">
        <f t="shared" si="18"/>
        <v>13586.400000000001</v>
      </c>
      <c r="H46" s="54">
        <f t="shared" si="17"/>
        <v>20379.599999999999</v>
      </c>
      <c r="I46" s="54">
        <f t="shared" si="19"/>
        <v>95104.799999999988</v>
      </c>
    </row>
    <row r="47" spans="1:10" ht="15.75" thickBot="1">
      <c r="A47" s="68" t="s">
        <v>22</v>
      </c>
      <c r="B47" s="69">
        <f>SUM(B41:B46)</f>
        <v>756465.5</v>
      </c>
      <c r="C47" s="70" t="str">
        <f t="shared" si="14"/>
        <v>TOTAL</v>
      </c>
      <c r="D47" s="71"/>
      <c r="E47" s="72">
        <f>SUM(E41:E46)</f>
        <v>346156.22000000009</v>
      </c>
      <c r="F47" s="72">
        <f t="shared" ref="F47:I47" si="20">SUM(F41:F46)</f>
        <v>410309.27999999997</v>
      </c>
      <c r="G47" s="73">
        <f t="shared" si="20"/>
        <v>41030.928</v>
      </c>
      <c r="H47" s="73">
        <f t="shared" si="20"/>
        <v>61546.391999999985</v>
      </c>
      <c r="I47" s="73">
        <f t="shared" si="20"/>
        <v>287216.49599999993</v>
      </c>
    </row>
    <row r="48" spans="1:10" ht="15.75" thickBot="1">
      <c r="A48" s="74" t="s">
        <v>153</v>
      </c>
      <c r="B48" s="69">
        <f>B47/6</f>
        <v>126077.58333333333</v>
      </c>
      <c r="C48" s="75" t="str">
        <f t="shared" si="14"/>
        <v>MÉDIO</v>
      </c>
      <c r="D48" s="76"/>
      <c r="E48" s="77">
        <f>E47/6</f>
        <v>57692.703333333346</v>
      </c>
      <c r="F48" s="77">
        <f t="shared" ref="F48:H48" si="21">F47/6</f>
        <v>68384.87999999999</v>
      </c>
      <c r="G48" s="78">
        <f t="shared" si="21"/>
        <v>6838.4880000000003</v>
      </c>
      <c r="H48" s="78">
        <f t="shared" si="21"/>
        <v>10257.731999999998</v>
      </c>
      <c r="I48" s="78">
        <f>I47/6</f>
        <v>47869.41599999999</v>
      </c>
    </row>
    <row r="49" spans="1:9">
      <c r="A49" s="82"/>
      <c r="B49" s="83"/>
      <c r="C49" s="83"/>
      <c r="D49" s="84"/>
      <c r="E49" s="85">
        <f>E48+G48+H48</f>
        <v>74788.92333333334</v>
      </c>
      <c r="F49" s="86"/>
      <c r="G49" s="7"/>
      <c r="H49" s="7"/>
      <c r="I49" s="7"/>
    </row>
    <row r="50" spans="1:9">
      <c r="A50" s="82"/>
      <c r="B50" s="83"/>
      <c r="C50" s="83"/>
      <c r="D50" s="84"/>
      <c r="E50" s="85"/>
      <c r="F50" s="86"/>
      <c r="G50" s="7"/>
      <c r="H50" s="7"/>
      <c r="I50" s="7"/>
    </row>
    <row r="51" spans="1:9">
      <c r="B51" s="55"/>
      <c r="C51" s="56" t="str">
        <f t="shared" si="14"/>
        <v/>
      </c>
      <c r="E51" s="57"/>
      <c r="F51" s="57"/>
    </row>
    <row r="52" spans="1:9" ht="26.25" thickBot="1">
      <c r="A52" s="311" t="s">
        <v>164</v>
      </c>
      <c r="B52" s="55"/>
      <c r="C52" s="56"/>
      <c r="E52" s="41" t="s">
        <v>110</v>
      </c>
      <c r="F52" s="41"/>
      <c r="G52" s="42"/>
      <c r="H52" s="42"/>
    </row>
    <row r="53" spans="1:9" ht="26.25" thickBot="1">
      <c r="A53" s="58" t="s">
        <v>156</v>
      </c>
      <c r="B53" s="58" t="s">
        <v>157</v>
      </c>
      <c r="C53" s="59"/>
      <c r="D53" s="79"/>
      <c r="E53" s="60" t="s">
        <v>114</v>
      </c>
      <c r="F53" s="60" t="s">
        <v>115</v>
      </c>
      <c r="G53" s="80" t="s">
        <v>165</v>
      </c>
      <c r="H53" s="61" t="s">
        <v>117</v>
      </c>
      <c r="I53" s="49" t="s">
        <v>313</v>
      </c>
    </row>
    <row r="54" spans="1:9" ht="15.75" thickBot="1">
      <c r="A54" s="62" t="s">
        <v>166</v>
      </c>
      <c r="B54" s="63">
        <v>266424.45</v>
      </c>
      <c r="C54" s="63" t="str">
        <f>LEFT(A54,5)</f>
        <v>77,28</v>
      </c>
      <c r="D54" s="81"/>
      <c r="E54" s="52">
        <f>B54-F54</f>
        <v>114256.77000000002</v>
      </c>
      <c r="F54" s="53">
        <f>C54*$G$1/$F$1</f>
        <v>152167.67999999999</v>
      </c>
      <c r="G54" s="54">
        <f>F54*10%</f>
        <v>15216.768</v>
      </c>
      <c r="H54" s="54">
        <f>F54*15%</f>
        <v>22825.151999999998</v>
      </c>
      <c r="I54" s="54">
        <f>F54*70%</f>
        <v>106517.37599999999</v>
      </c>
    </row>
    <row r="55" spans="1:9" ht="15.75" thickBot="1">
      <c r="A55" s="62" t="s">
        <v>167</v>
      </c>
      <c r="B55" s="63">
        <v>366572.04</v>
      </c>
      <c r="C55" s="63" t="str">
        <f>LEFT(A55,5)</f>
        <v>102,4</v>
      </c>
      <c r="D55" s="81"/>
      <c r="E55" s="52">
        <f>B55-F55</f>
        <v>164941.98782608693</v>
      </c>
      <c r="F55" s="53">
        <f>C55*$G$1/$F$1</f>
        <v>201630.05217391305</v>
      </c>
      <c r="G55" s="54">
        <f t="shared" ref="G55:G57" si="22">F55*10%</f>
        <v>20163.005217391306</v>
      </c>
      <c r="H55" s="54">
        <f>F55*15%</f>
        <v>30244.507826086956</v>
      </c>
      <c r="I55" s="54">
        <f t="shared" ref="I55:I57" si="23">F55*70%</f>
        <v>141141.03652173912</v>
      </c>
    </row>
    <row r="56" spans="1:9" ht="15.75" thickBot="1">
      <c r="A56" s="62" t="s">
        <v>168</v>
      </c>
      <c r="B56" s="63">
        <v>727123.37</v>
      </c>
      <c r="C56" s="63" t="str">
        <f>LEFT(A56,5)</f>
        <v>204,9</v>
      </c>
      <c r="D56" s="81"/>
      <c r="E56" s="52">
        <f>B56-F56</f>
        <v>323666.36130434787</v>
      </c>
      <c r="F56" s="53">
        <f>C56*$G$1/$F$1</f>
        <v>403457.00869565213</v>
      </c>
      <c r="G56" s="54">
        <f t="shared" si="22"/>
        <v>40345.700869565218</v>
      </c>
      <c r="H56" s="54">
        <f>F56*15%</f>
        <v>60518.551304347813</v>
      </c>
      <c r="I56" s="54">
        <f t="shared" si="23"/>
        <v>282419.90608695644</v>
      </c>
    </row>
    <row r="57" spans="1:9" ht="15.75" thickBot="1">
      <c r="A57" s="62" t="s">
        <v>169</v>
      </c>
      <c r="B57" s="63">
        <v>1066801.6499999999</v>
      </c>
      <c r="C57" s="63" t="str">
        <f>LEFT(A57,5)</f>
        <v>310,5</v>
      </c>
      <c r="D57" s="81"/>
      <c r="E57" s="52">
        <f>B57-F57</f>
        <v>455413.64999999991</v>
      </c>
      <c r="F57" s="53">
        <f>C57*$G$1/$F$1</f>
        <v>611388</v>
      </c>
      <c r="G57" s="54">
        <f t="shared" si="22"/>
        <v>61138.8</v>
      </c>
      <c r="H57" s="54">
        <f>F57*15%</f>
        <v>91708.2</v>
      </c>
      <c r="I57" s="54">
        <f t="shared" si="23"/>
        <v>427971.6</v>
      </c>
    </row>
    <row r="58" spans="1:9" ht="15.75" thickBot="1">
      <c r="A58" s="68" t="s">
        <v>22</v>
      </c>
      <c r="B58" s="69">
        <f>SUM(B52:B57)</f>
        <v>2426921.5099999998</v>
      </c>
      <c r="C58" s="70" t="str">
        <f t="shared" ref="C58:C59" si="24">LEFT(A58,5)</f>
        <v>TOTAL</v>
      </c>
      <c r="D58" s="71"/>
      <c r="E58" s="72">
        <f>SUM(E52:E57)</f>
        <v>1058278.7691304348</v>
      </c>
      <c r="F58" s="72">
        <f t="shared" ref="F58:I58" si="25">SUM(F52:F57)</f>
        <v>1368642.7408695652</v>
      </c>
      <c r="G58" s="73">
        <f t="shared" si="25"/>
        <v>136864.27408695652</v>
      </c>
      <c r="H58" s="73">
        <f t="shared" si="25"/>
        <v>205296.41113043478</v>
      </c>
      <c r="I58" s="73">
        <f t="shared" si="25"/>
        <v>958049.9186086955</v>
      </c>
    </row>
    <row r="59" spans="1:9" ht="15.75" thickBot="1">
      <c r="A59" s="74" t="s">
        <v>153</v>
      </c>
      <c r="B59" s="69">
        <f>B58/4</f>
        <v>606730.37749999994</v>
      </c>
      <c r="C59" s="75" t="str">
        <f t="shared" si="24"/>
        <v>MÉDIO</v>
      </c>
      <c r="D59" s="76"/>
      <c r="E59" s="77">
        <f>E58/4</f>
        <v>264569.69228260871</v>
      </c>
      <c r="F59" s="77">
        <f>F58/4</f>
        <v>342160.68521739129</v>
      </c>
      <c r="G59" s="78">
        <f>G58/4</f>
        <v>34216.068521739129</v>
      </c>
      <c r="H59" s="78">
        <f>H58/4</f>
        <v>51324.102782608694</v>
      </c>
      <c r="I59" s="78">
        <f>I58/4</f>
        <v>239512.47965217388</v>
      </c>
    </row>
    <row r="60" spans="1:9">
      <c r="E60" s="57">
        <f>E59+G59+H59</f>
        <v>350109.86358695652</v>
      </c>
    </row>
    <row r="61" spans="1:9">
      <c r="A61" s="87" t="s">
        <v>170</v>
      </c>
      <c r="B61" s="88"/>
      <c r="C61" s="88"/>
      <c r="D61" s="88" t="s">
        <v>171</v>
      </c>
      <c r="F61" s="57"/>
    </row>
    <row r="62" spans="1:9">
      <c r="A62" s="89" t="s">
        <v>172</v>
      </c>
      <c r="B62" s="88"/>
      <c r="C62" s="88"/>
      <c r="D62" s="88"/>
      <c r="F62" s="57"/>
    </row>
    <row r="63" spans="1:9" ht="90">
      <c r="A63" s="90" t="s">
        <v>173</v>
      </c>
      <c r="B63" s="88"/>
      <c r="C63" s="88"/>
      <c r="D63" s="88"/>
      <c r="F63" s="57"/>
    </row>
    <row r="64" spans="1:9">
      <c r="A64" s="89"/>
      <c r="B64" s="88"/>
      <c r="C64" s="88"/>
      <c r="D64" s="88">
        <v>40.229999999999997</v>
      </c>
      <c r="E64" s="28">
        <v>1</v>
      </c>
      <c r="F64" s="57"/>
    </row>
    <row r="65" spans="1:8">
      <c r="A65" s="498" t="s">
        <v>174</v>
      </c>
      <c r="B65" s="498"/>
      <c r="C65" s="498"/>
      <c r="D65" s="498"/>
    </row>
    <row r="66" spans="1:8">
      <c r="A66" s="498"/>
      <c r="B66" s="498"/>
      <c r="C66" s="498"/>
      <c r="D66" s="498"/>
    </row>
    <row r="67" spans="1:8" ht="38.25">
      <c r="A67" s="91"/>
      <c r="B67" s="92" t="s">
        <v>175</v>
      </c>
      <c r="C67" s="92" t="s">
        <v>176</v>
      </c>
      <c r="D67" s="93" t="s">
        <v>177</v>
      </c>
      <c r="E67" s="93" t="s">
        <v>115</v>
      </c>
      <c r="F67" s="92" t="s">
        <v>178</v>
      </c>
      <c r="G67" s="92" t="s">
        <v>179</v>
      </c>
      <c r="H67" s="49" t="s">
        <v>118</v>
      </c>
    </row>
    <row r="68" spans="1:8">
      <c r="A68" s="94" t="s">
        <v>180</v>
      </c>
      <c r="B68" s="95">
        <f>12000/140</f>
        <v>85.714285714285708</v>
      </c>
      <c r="C68" s="95">
        <v>85</v>
      </c>
      <c r="D68" s="95">
        <v>40.229999999999997</v>
      </c>
      <c r="E68" s="96">
        <f>B68-D68</f>
        <v>45.484285714285711</v>
      </c>
      <c r="F68" s="96">
        <f>E68*10%</f>
        <v>4.5484285714285715</v>
      </c>
      <c r="G68" s="97">
        <f>E68*30%</f>
        <v>13.645285714285713</v>
      </c>
      <c r="H68" s="97">
        <f>E68-F68-G68</f>
        <v>27.290571428571425</v>
      </c>
    </row>
    <row r="70" spans="1:8">
      <c r="D70" s="7">
        <f>B68-H68</f>
        <v>58.423714285714283</v>
      </c>
      <c r="G70" s="7"/>
    </row>
    <row r="71" spans="1:8">
      <c r="A71" s="498" t="s">
        <v>181</v>
      </c>
      <c r="B71" s="498"/>
      <c r="C71" s="498"/>
      <c r="D71" s="498"/>
      <c r="G71" s="7">
        <f>G68+F68</f>
        <v>18.193714285714286</v>
      </c>
    </row>
    <row r="72" spans="1:8">
      <c r="A72" s="498"/>
      <c r="B72" s="498"/>
      <c r="C72" s="498"/>
      <c r="D72" s="498"/>
    </row>
    <row r="73" spans="1:8" ht="38.25">
      <c r="A73" s="92"/>
      <c r="B73" s="92" t="s">
        <v>182</v>
      </c>
      <c r="C73" s="92" t="s">
        <v>176</v>
      </c>
      <c r="D73" s="92" t="s">
        <v>183</v>
      </c>
      <c r="E73" s="49" t="s">
        <v>184</v>
      </c>
    </row>
    <row r="74" spans="1:8">
      <c r="A74" s="98" t="s">
        <v>185</v>
      </c>
      <c r="B74" s="98">
        <v>50</v>
      </c>
      <c r="C74" s="98">
        <v>35</v>
      </c>
      <c r="D74" s="98">
        <f>B74*20%</f>
        <v>10</v>
      </c>
      <c r="E74" s="96">
        <f>B74-D74</f>
        <v>40</v>
      </c>
    </row>
    <row r="75" spans="1:8">
      <c r="A75" s="99"/>
      <c r="B75" s="99"/>
      <c r="C75" s="99"/>
      <c r="D75" s="99"/>
    </row>
    <row r="76" spans="1:8">
      <c r="A76" s="99"/>
      <c r="B76" s="99"/>
      <c r="C76" s="99"/>
      <c r="D76" s="99"/>
    </row>
    <row r="77" spans="1:8">
      <c r="A77" s="498" t="s">
        <v>186</v>
      </c>
      <c r="B77" s="498"/>
      <c r="C77" s="498"/>
      <c r="D77" s="498"/>
    </row>
    <row r="78" spans="1:8">
      <c r="A78" s="498"/>
      <c r="B78" s="498"/>
      <c r="C78" s="498"/>
      <c r="D78" s="498"/>
    </row>
    <row r="79" spans="1:8" ht="38.25">
      <c r="A79" s="92"/>
      <c r="B79" s="92" t="s">
        <v>187</v>
      </c>
      <c r="C79" s="92" t="s">
        <v>176</v>
      </c>
      <c r="D79" s="92" t="s">
        <v>188</v>
      </c>
      <c r="E79" s="49" t="s">
        <v>184</v>
      </c>
    </row>
    <row r="80" spans="1:8">
      <c r="A80" s="94" t="s">
        <v>189</v>
      </c>
      <c r="B80" s="95">
        <v>50</v>
      </c>
      <c r="C80" s="95">
        <v>45</v>
      </c>
      <c r="D80" s="95">
        <f>B80*20%</f>
        <v>10</v>
      </c>
      <c r="E80" s="96">
        <f>B80-D80</f>
        <v>40</v>
      </c>
    </row>
  </sheetData>
  <mergeCells count="3">
    <mergeCell ref="A65:D66"/>
    <mergeCell ref="A71:D72"/>
    <mergeCell ref="A77:D7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rgb="FF00B0F0"/>
  </sheetPr>
  <dimension ref="A1:I28"/>
  <sheetViews>
    <sheetView showGridLines="0" tabSelected="1" topLeftCell="A25" zoomScale="140" zoomScaleNormal="140" workbookViewId="0">
      <selection activeCell="F24" sqref="F24"/>
    </sheetView>
  </sheetViews>
  <sheetFormatPr defaultColWidth="9.140625" defaultRowHeight="15"/>
  <cols>
    <col min="1" max="1" width="11.85546875" customWidth="1"/>
    <col min="2" max="2" width="27.140625" bestFit="1" customWidth="1"/>
    <col min="3" max="3" width="19.85546875" style="6" bestFit="1" customWidth="1"/>
    <col min="4" max="4" width="20.42578125" style="6" customWidth="1"/>
    <col min="5" max="5" width="17.7109375" style="6" customWidth="1"/>
    <col min="6" max="6" width="15.140625" customWidth="1"/>
    <col min="7" max="8" width="13.42578125" bestFit="1" customWidth="1"/>
    <col min="9" max="9" width="13.7109375" bestFit="1" customWidth="1"/>
    <col min="10" max="10" width="13.42578125" bestFit="1" customWidth="1"/>
    <col min="11" max="11" width="17.42578125" bestFit="1" customWidth="1"/>
    <col min="12" max="13" width="12.28515625" bestFit="1" customWidth="1"/>
    <col min="15" max="15" width="11.85546875" bestFit="1" customWidth="1"/>
  </cols>
  <sheetData>
    <row r="1" spans="1:9">
      <c r="C1" s="26" t="s">
        <v>479</v>
      </c>
    </row>
    <row r="2" spans="1:9">
      <c r="B2" t="s">
        <v>455</v>
      </c>
      <c r="C2" s="27">
        <v>5.5E-2</v>
      </c>
      <c r="F2" s="6"/>
      <c r="G2" s="6"/>
      <c r="H2" s="6"/>
      <c r="I2" s="6"/>
    </row>
    <row r="3" spans="1:9">
      <c r="B3" t="s">
        <v>456</v>
      </c>
      <c r="C3" s="27">
        <v>6.5000000000000002E-2</v>
      </c>
      <c r="F3" s="6"/>
      <c r="G3" s="6"/>
      <c r="H3" s="6"/>
      <c r="I3" s="6"/>
    </row>
    <row r="4" spans="1:9">
      <c r="B4" t="s">
        <v>457</v>
      </c>
      <c r="C4" s="27">
        <v>4.4999999999999998E-2</v>
      </c>
      <c r="F4" s="6"/>
      <c r="G4" s="6"/>
      <c r="H4" s="6"/>
      <c r="I4" s="6"/>
    </row>
    <row r="5" spans="1:9">
      <c r="B5" t="s">
        <v>392</v>
      </c>
      <c r="C5" s="6">
        <v>19</v>
      </c>
      <c r="D5" s="6">
        <v>15</v>
      </c>
    </row>
    <row r="7" spans="1:9" ht="15.75" thickBot="1">
      <c r="F7" s="6"/>
      <c r="G7" s="6"/>
    </row>
    <row r="8" spans="1:9" ht="23.25" customHeight="1">
      <c r="A8" s="454" t="s">
        <v>20</v>
      </c>
      <c r="B8" s="455" t="s">
        <v>483</v>
      </c>
      <c r="C8" s="456" t="s">
        <v>480</v>
      </c>
      <c r="D8" s="456" t="s">
        <v>481</v>
      </c>
      <c r="E8" s="457" t="s">
        <v>482</v>
      </c>
      <c r="F8" s="480"/>
      <c r="G8" s="480"/>
      <c r="H8" s="480"/>
    </row>
    <row r="9" spans="1:9">
      <c r="A9" s="452">
        <v>1</v>
      </c>
      <c r="B9" s="23" t="s">
        <v>499</v>
      </c>
      <c r="C9" s="26">
        <v>450</v>
      </c>
      <c r="D9" s="26">
        <v>5</v>
      </c>
      <c r="E9" s="453">
        <f>C9*D9</f>
        <v>2250</v>
      </c>
    </row>
    <row r="10" spans="1:9">
      <c r="A10" s="452">
        <v>2</v>
      </c>
      <c r="B10" s="23" t="s">
        <v>500</v>
      </c>
      <c r="C10" s="26">
        <v>1000</v>
      </c>
      <c r="D10" s="26">
        <v>7</v>
      </c>
      <c r="E10" s="453">
        <f t="shared" ref="E10:E11" si="0">C10*D10</f>
        <v>7000</v>
      </c>
    </row>
    <row r="11" spans="1:9">
      <c r="A11" s="452">
        <v>3</v>
      </c>
      <c r="B11" s="23" t="s">
        <v>501</v>
      </c>
      <c r="C11" s="26">
        <v>1700</v>
      </c>
      <c r="D11" s="26">
        <v>2</v>
      </c>
      <c r="E11" s="453">
        <f t="shared" si="0"/>
        <v>3400</v>
      </c>
    </row>
    <row r="12" spans="1:9">
      <c r="A12" s="452">
        <v>1</v>
      </c>
      <c r="B12" s="23" t="s">
        <v>499</v>
      </c>
      <c r="C12" s="26">
        <v>450</v>
      </c>
      <c r="D12" s="26">
        <v>6</v>
      </c>
      <c r="E12" s="453">
        <f>C12*D12</f>
        <v>2700</v>
      </c>
    </row>
    <row r="13" spans="1:9">
      <c r="A13" s="452">
        <v>2</v>
      </c>
      <c r="B13" s="23" t="s">
        <v>500</v>
      </c>
      <c r="C13" s="26">
        <v>1000</v>
      </c>
      <c r="D13" s="26">
        <v>8</v>
      </c>
      <c r="E13" s="453">
        <f t="shared" ref="E13:E14" si="1">C13*D13</f>
        <v>8000</v>
      </c>
    </row>
    <row r="14" spans="1:9">
      <c r="A14" s="452">
        <v>3</v>
      </c>
      <c r="B14" s="23" t="s">
        <v>501</v>
      </c>
      <c r="C14" s="26">
        <v>1700</v>
      </c>
      <c r="D14" s="26">
        <v>3</v>
      </c>
      <c r="E14" s="453">
        <f t="shared" si="1"/>
        <v>5100</v>
      </c>
    </row>
    <row r="15" spans="1:9">
      <c r="A15" s="452">
        <v>1</v>
      </c>
      <c r="B15" s="23" t="s">
        <v>499</v>
      </c>
      <c r="C15" s="26">
        <v>450</v>
      </c>
      <c r="D15" s="26">
        <v>7</v>
      </c>
      <c r="E15" s="453">
        <f>C15*D15</f>
        <v>3150</v>
      </c>
    </row>
    <row r="16" spans="1:9">
      <c r="A16" s="452">
        <v>2</v>
      </c>
      <c r="B16" s="23" t="s">
        <v>500</v>
      </c>
      <c r="C16" s="26">
        <v>1000</v>
      </c>
      <c r="D16" s="26">
        <v>9</v>
      </c>
      <c r="E16" s="453">
        <f t="shared" ref="E16:E17" si="2">C16*D16</f>
        <v>9000</v>
      </c>
    </row>
    <row r="17" spans="1:5">
      <c r="A17" s="452">
        <v>3</v>
      </c>
      <c r="B17" s="23" t="s">
        <v>501</v>
      </c>
      <c r="C17" s="26">
        <v>1700</v>
      </c>
      <c r="D17" s="26">
        <v>4</v>
      </c>
      <c r="E17" s="453">
        <f t="shared" si="2"/>
        <v>6800</v>
      </c>
    </row>
    <row r="18" spans="1:5">
      <c r="A18" s="452">
        <v>1</v>
      </c>
      <c r="B18" s="23" t="s">
        <v>499</v>
      </c>
      <c r="C18" s="26">
        <v>450</v>
      </c>
      <c r="D18" s="26">
        <v>8</v>
      </c>
      <c r="E18" s="453">
        <f>C18*D18</f>
        <v>3600</v>
      </c>
    </row>
    <row r="19" spans="1:5">
      <c r="A19" s="452">
        <v>2</v>
      </c>
      <c r="B19" s="23" t="s">
        <v>500</v>
      </c>
      <c r="C19" s="26">
        <v>1000</v>
      </c>
      <c r="D19" s="26">
        <v>10</v>
      </c>
      <c r="E19" s="453">
        <f t="shared" ref="E19:E20" si="3">C19*D19</f>
        <v>10000</v>
      </c>
    </row>
    <row r="20" spans="1:5">
      <c r="A20" s="452">
        <v>3</v>
      </c>
      <c r="B20" s="23" t="s">
        <v>501</v>
      </c>
      <c r="C20" s="26">
        <v>1700</v>
      </c>
      <c r="D20" s="26">
        <v>5</v>
      </c>
      <c r="E20" s="453">
        <f t="shared" si="3"/>
        <v>8500</v>
      </c>
    </row>
    <row r="21" spans="1:5">
      <c r="A21" s="452">
        <v>1</v>
      </c>
      <c r="B21" s="23" t="s">
        <v>499</v>
      </c>
      <c r="C21" s="26">
        <v>450</v>
      </c>
      <c r="D21" s="26">
        <v>9</v>
      </c>
      <c r="E21" s="453">
        <f>C21*D21</f>
        <v>4050</v>
      </c>
    </row>
    <row r="22" spans="1:5">
      <c r="A22" s="452">
        <v>2</v>
      </c>
      <c r="B22" s="23" t="s">
        <v>500</v>
      </c>
      <c r="C22" s="26">
        <v>1000</v>
      </c>
      <c r="D22" s="26">
        <v>11</v>
      </c>
      <c r="E22" s="453">
        <f t="shared" ref="E22:E23" si="4">C22*D22</f>
        <v>11000</v>
      </c>
    </row>
    <row r="23" spans="1:5">
      <c r="A23" s="452">
        <v>3</v>
      </c>
      <c r="B23" s="23" t="s">
        <v>501</v>
      </c>
      <c r="C23" s="26">
        <v>1700</v>
      </c>
      <c r="D23" s="26">
        <v>6</v>
      </c>
      <c r="E23" s="453">
        <f t="shared" si="4"/>
        <v>10200</v>
      </c>
    </row>
    <row r="24" spans="1:5">
      <c r="A24" s="452">
        <v>1</v>
      </c>
      <c r="B24" s="23" t="s">
        <v>499</v>
      </c>
      <c r="C24" s="26">
        <v>450</v>
      </c>
      <c r="D24" s="26">
        <v>10</v>
      </c>
      <c r="E24" s="453">
        <f>C24*D24</f>
        <v>4500</v>
      </c>
    </row>
    <row r="25" spans="1:5">
      <c r="A25" s="452">
        <v>2</v>
      </c>
      <c r="B25" s="23" t="s">
        <v>500</v>
      </c>
      <c r="C25" s="26">
        <v>1000</v>
      </c>
      <c r="D25" s="26">
        <v>12</v>
      </c>
      <c r="E25" s="453">
        <f t="shared" ref="E25:E26" si="5">C25*D25</f>
        <v>12000</v>
      </c>
    </row>
    <row r="26" spans="1:5">
      <c r="A26" s="452">
        <v>3</v>
      </c>
      <c r="B26" s="23" t="s">
        <v>501</v>
      </c>
      <c r="C26" s="26">
        <v>1700</v>
      </c>
      <c r="D26" s="26">
        <v>7</v>
      </c>
      <c r="E26" s="453">
        <f t="shared" si="5"/>
        <v>11900</v>
      </c>
    </row>
    <row r="27" spans="1:5">
      <c r="A27" s="452">
        <v>1</v>
      </c>
      <c r="B27" s="23" t="s">
        <v>499</v>
      </c>
      <c r="C27" s="26">
        <v>450</v>
      </c>
      <c r="D27" s="26">
        <v>11</v>
      </c>
      <c r="E27" s="453">
        <f>C27*D27</f>
        <v>4950</v>
      </c>
    </row>
    <row r="28" spans="1:5">
      <c r="A28" s="452">
        <v>2</v>
      </c>
      <c r="B28" s="23" t="s">
        <v>500</v>
      </c>
      <c r="C28" s="26">
        <v>1000</v>
      </c>
      <c r="D28" s="26">
        <v>13</v>
      </c>
      <c r="E28" s="453">
        <f t="shared" ref="E28" si="6">C28*D28</f>
        <v>13000</v>
      </c>
    </row>
  </sheetData>
  <phoneticPr fontId="4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M11"/>
  <sheetViews>
    <sheetView workbookViewId="0">
      <selection activeCell="F19" sqref="F19"/>
    </sheetView>
  </sheetViews>
  <sheetFormatPr defaultRowHeight="15"/>
  <cols>
    <col min="1" max="1" width="40.5703125" customWidth="1"/>
    <col min="2" max="3" width="8.7109375" hidden="1" customWidth="1"/>
    <col min="4" max="4" width="16.42578125" hidden="1" customWidth="1"/>
    <col min="5" max="5" width="13.28515625" style="28" bestFit="1" customWidth="1"/>
    <col min="6" max="6" width="16.5703125" bestFit="1" customWidth="1"/>
    <col min="7" max="7" width="13.7109375" style="28" bestFit="1" customWidth="1"/>
    <col min="8" max="8" width="14.85546875" bestFit="1" customWidth="1"/>
  </cols>
  <sheetData>
    <row r="1" spans="1:13" ht="15.75" thickBot="1">
      <c r="F1" s="103">
        <v>0.1</v>
      </c>
      <c r="G1" s="104">
        <v>0.2</v>
      </c>
    </row>
    <row r="2" spans="1:13">
      <c r="E2" s="28" t="s">
        <v>192</v>
      </c>
      <c r="F2" s="60" t="s">
        <v>116</v>
      </c>
      <c r="G2" s="61" t="s">
        <v>117</v>
      </c>
    </row>
    <row r="3" spans="1:13" ht="25.5">
      <c r="A3" s="32" t="s">
        <v>147</v>
      </c>
      <c r="E3" s="57">
        <f>'Calculo Custo Serviço'!F36</f>
        <v>12001.319999999998</v>
      </c>
      <c r="F3" s="21">
        <f>E3*$F$1</f>
        <v>1200.1319999999998</v>
      </c>
      <c r="G3" s="108">
        <f>E3*$G$1</f>
        <v>2400.2639999999997</v>
      </c>
      <c r="H3" s="7">
        <f>SUM(F3:G3)</f>
        <v>3600.3959999999997</v>
      </c>
    </row>
    <row r="4" spans="1:13" ht="25.5">
      <c r="A4" s="32" t="s">
        <v>154</v>
      </c>
      <c r="E4" s="57">
        <f>'Calculo Custo Serviço'!F48</f>
        <v>68384.87999999999</v>
      </c>
      <c r="F4" s="21">
        <f t="shared" ref="F4:F6" si="0">E4*$F$1</f>
        <v>6838.4879999999994</v>
      </c>
      <c r="G4" s="108">
        <f t="shared" ref="G4:G5" si="1">E4*$G$1</f>
        <v>13676.975999999999</v>
      </c>
      <c r="H4" s="7">
        <f>SUM(F4:G4)</f>
        <v>20515.464</v>
      </c>
      <c r="L4">
        <v>10</v>
      </c>
      <c r="M4">
        <v>15</v>
      </c>
    </row>
    <row r="5" spans="1:13" ht="25.5">
      <c r="A5" s="32" t="s">
        <v>164</v>
      </c>
      <c r="E5" s="57">
        <f>'Calculo Custo Serviço'!F59</f>
        <v>342160.68521739129</v>
      </c>
      <c r="F5" s="21">
        <f t="shared" si="0"/>
        <v>34216.068521739129</v>
      </c>
      <c r="G5" s="108">
        <f t="shared" si="1"/>
        <v>68432.137043478258</v>
      </c>
      <c r="H5" s="7">
        <f>SUM(F5:G5)</f>
        <v>102648.20556521739</v>
      </c>
    </row>
    <row r="6" spans="1:13" ht="14.45" customHeight="1">
      <c r="A6" s="500" t="s">
        <v>174</v>
      </c>
      <c r="B6" s="500"/>
      <c r="C6" s="500"/>
      <c r="D6" s="500"/>
      <c r="E6" s="501">
        <f>'Calculo Custo Serviço'!E68</f>
        <v>45.484285714285711</v>
      </c>
      <c r="F6" s="503">
        <f t="shared" si="0"/>
        <v>4.5484285714285715</v>
      </c>
      <c r="G6" s="503">
        <f t="shared" ref="G6" si="2">E6*$G$1</f>
        <v>9.096857142857143</v>
      </c>
      <c r="H6" s="499">
        <f>SUM(F6:G7)</f>
        <v>13.645285714285714</v>
      </c>
    </row>
    <row r="7" spans="1:13">
      <c r="A7" s="500"/>
      <c r="B7" s="500"/>
      <c r="C7" s="500"/>
      <c r="D7" s="500"/>
      <c r="E7" s="502"/>
      <c r="F7" s="503"/>
      <c r="G7" s="503"/>
      <c r="H7" s="499"/>
    </row>
    <row r="8" spans="1:13" ht="25.5">
      <c r="A8" s="101"/>
      <c r="B8" s="101"/>
      <c r="C8" s="101"/>
      <c r="D8" s="101"/>
      <c r="E8" s="104" t="s">
        <v>193</v>
      </c>
      <c r="F8" s="92" t="s">
        <v>314</v>
      </c>
      <c r="H8" s="57"/>
    </row>
    <row r="9" spans="1:13" ht="14.45" customHeight="1">
      <c r="A9" s="102" t="s">
        <v>181</v>
      </c>
      <c r="B9" s="102"/>
      <c r="C9" s="102"/>
      <c r="D9" s="102"/>
      <c r="E9" s="57">
        <f>'Calculo Custo Serviço'!B74</f>
        <v>50</v>
      </c>
      <c r="F9" s="109">
        <f>E9*10/100</f>
        <v>5</v>
      </c>
      <c r="G9" s="105"/>
      <c r="H9" s="7"/>
    </row>
    <row r="10" spans="1:13">
      <c r="A10" s="102" t="s">
        <v>186</v>
      </c>
      <c r="B10" s="102"/>
      <c r="C10" s="102"/>
      <c r="D10" s="102"/>
      <c r="E10" s="57">
        <f>'Calculo Custo Serviço'!B80</f>
        <v>50</v>
      </c>
      <c r="F10" s="109">
        <f>E10*10/100</f>
        <v>5</v>
      </c>
      <c r="G10" s="105"/>
      <c r="H10" s="7"/>
    </row>
    <row r="11" spans="1:13">
      <c r="A11" s="102"/>
      <c r="B11" s="102"/>
      <c r="C11" s="102"/>
      <c r="D11" s="102"/>
    </row>
  </sheetData>
  <mergeCells count="5">
    <mergeCell ref="H6:H7"/>
    <mergeCell ref="A6:D7"/>
    <mergeCell ref="E6:E7"/>
    <mergeCell ref="F6:F7"/>
    <mergeCell ref="G6:G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E13"/>
  <sheetViews>
    <sheetView workbookViewId="0">
      <selection activeCell="H12" sqref="H12"/>
    </sheetView>
  </sheetViews>
  <sheetFormatPr defaultRowHeight="15"/>
  <cols>
    <col min="1" max="1" width="8.85546875" bestFit="1" customWidth="1"/>
    <col min="4" max="4" width="21.28515625" bestFit="1" customWidth="1"/>
    <col min="5" max="5" width="20.140625" bestFit="1" customWidth="1"/>
    <col min="7" max="7" width="9.5703125" bestFit="1" customWidth="1"/>
    <col min="9" max="9" width="14.85546875" bestFit="1" customWidth="1"/>
  </cols>
  <sheetData>
    <row r="1" spans="1:5">
      <c r="A1" t="s">
        <v>392</v>
      </c>
      <c r="B1" s="105" t="e">
        <f>#REF!</f>
        <v>#REF!</v>
      </c>
      <c r="C1" s="105" t="e">
        <f>#REF!</f>
        <v>#REF!</v>
      </c>
      <c r="D1" s="105" t="e">
        <f>#REF!</f>
        <v>#REF!</v>
      </c>
      <c r="E1" s="105" t="e">
        <f>#REF!</f>
        <v>#REF!</v>
      </c>
    </row>
    <row r="2" spans="1:5">
      <c r="A2" t="s">
        <v>393</v>
      </c>
      <c r="B2" s="28" t="s">
        <v>389</v>
      </c>
      <c r="C2" s="28" t="s">
        <v>396</v>
      </c>
      <c r="D2" s="28" t="s">
        <v>390</v>
      </c>
      <c r="E2" s="28" t="s">
        <v>391</v>
      </c>
    </row>
    <row r="5" spans="1:5" ht="38.25">
      <c r="A5" s="318" t="s">
        <v>149</v>
      </c>
      <c r="B5" s="319" t="s">
        <v>375</v>
      </c>
      <c r="C5" s="319" t="s">
        <v>397</v>
      </c>
      <c r="D5" s="317" t="s">
        <v>399</v>
      </c>
      <c r="E5" s="316" t="s">
        <v>398</v>
      </c>
    </row>
    <row r="6" spans="1:5" ht="25.5">
      <c r="A6" s="320" t="s">
        <v>152</v>
      </c>
      <c r="B6" s="307">
        <v>0.3</v>
      </c>
      <c r="C6" s="309" t="e">
        <f>B1*B6</f>
        <v>#REF!</v>
      </c>
      <c r="D6" s="321">
        <f>'Calculo Custo Serviço'!I29</f>
        <v>2384.5116521739124</v>
      </c>
      <c r="E6" s="24" t="e">
        <f>D6*C6</f>
        <v>#REF!</v>
      </c>
    </row>
    <row r="7" spans="1:5" ht="25.5">
      <c r="A7" s="320" t="s">
        <v>121</v>
      </c>
      <c r="B7" s="307">
        <v>0.7</v>
      </c>
      <c r="C7" s="309" t="e">
        <f>B1*B7</f>
        <v>#REF!</v>
      </c>
      <c r="D7" s="321">
        <f>'Calculo Custo Serviço'!I30</f>
        <v>3321.7763478260872</v>
      </c>
      <c r="E7" s="24" t="e">
        <f t="shared" ref="E7:E11" si="0">D7*C7</f>
        <v>#REF!</v>
      </c>
    </row>
    <row r="8" spans="1:5" ht="25.5">
      <c r="A8" s="320" t="s">
        <v>125</v>
      </c>
      <c r="B8" s="307">
        <v>1</v>
      </c>
      <c r="C8" s="309" t="e">
        <f>C1*B8</f>
        <v>#REF!</v>
      </c>
      <c r="D8" s="321">
        <f>'Calculo Custo Serviço'!I31</f>
        <v>5706.2879999999996</v>
      </c>
      <c r="E8" s="24" t="e">
        <f t="shared" si="0"/>
        <v>#REF!</v>
      </c>
    </row>
    <row r="9" spans="1:5" ht="25.5">
      <c r="A9" s="320" t="s">
        <v>131</v>
      </c>
      <c r="B9" s="307">
        <v>0.4</v>
      </c>
      <c r="C9" s="309" t="e">
        <f>D1*B9</f>
        <v>#REF!</v>
      </c>
      <c r="D9" s="321">
        <f>'Calculo Custo Serviço'!I32</f>
        <v>8559.4319999999989</v>
      </c>
      <c r="E9" s="24" t="e">
        <f t="shared" si="0"/>
        <v>#REF!</v>
      </c>
    </row>
    <row r="10" spans="1:5" ht="25.5">
      <c r="A10" s="320" t="s">
        <v>135</v>
      </c>
      <c r="B10" s="307">
        <v>0.6</v>
      </c>
      <c r="C10" s="309" t="e">
        <f>D1*B10</f>
        <v>#REF!</v>
      </c>
      <c r="D10" s="321">
        <f>'Calculo Custo Serviço'!I33</f>
        <v>10461.527999999998</v>
      </c>
      <c r="E10" s="24" t="e">
        <f t="shared" si="0"/>
        <v>#REF!</v>
      </c>
    </row>
    <row r="11" spans="1:5" ht="25.5">
      <c r="A11" s="320" t="s">
        <v>145</v>
      </c>
      <c r="B11" s="307">
        <v>1</v>
      </c>
      <c r="C11" s="309" t="e">
        <f>E1*B11</f>
        <v>#REF!</v>
      </c>
      <c r="D11" s="321">
        <f>'Calculo Custo Serviço'!I34</f>
        <v>19972.007999999994</v>
      </c>
      <c r="E11" s="24" t="e">
        <f t="shared" si="0"/>
        <v>#REF!</v>
      </c>
    </row>
    <row r="12" spans="1:5">
      <c r="A12" s="320" t="s">
        <v>13</v>
      </c>
      <c r="B12" s="23"/>
      <c r="C12" s="309" t="e">
        <f>SUM(C6:C11)</f>
        <v>#REF!</v>
      </c>
      <c r="D12" s="24">
        <f t="shared" ref="D12:E12" si="1">SUM(D6:D11)</f>
        <v>50405.543999999994</v>
      </c>
      <c r="E12" s="24" t="e">
        <f t="shared" si="1"/>
        <v>#REF!</v>
      </c>
    </row>
    <row r="13" spans="1:5">
      <c r="A13" s="322"/>
      <c r="C13" s="105"/>
      <c r="D13" s="55"/>
      <c r="E13" s="55"/>
    </row>
  </sheetData>
  <phoneticPr fontId="49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O33"/>
  <sheetViews>
    <sheetView workbookViewId="0">
      <selection activeCell="B4" sqref="B4:M4"/>
    </sheetView>
  </sheetViews>
  <sheetFormatPr defaultRowHeight="15"/>
  <cols>
    <col min="1" max="2" width="13.5703125" bestFit="1" customWidth="1"/>
    <col min="3" max="5" width="13.28515625" bestFit="1" customWidth="1"/>
    <col min="6" max="6" width="14.85546875" bestFit="1" customWidth="1"/>
    <col min="7" max="13" width="13.28515625" bestFit="1" customWidth="1"/>
    <col min="14" max="14" width="14.85546875" bestFit="1" customWidth="1"/>
    <col min="15" max="15" width="13.28515625" bestFit="1" customWidth="1"/>
  </cols>
  <sheetData>
    <row r="1" spans="1:15" ht="15.75" thickBot="1">
      <c r="A1" t="s">
        <v>385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386</v>
      </c>
    </row>
    <row r="2" spans="1:15">
      <c r="A2" s="29" t="s">
        <v>14</v>
      </c>
      <c r="B2" s="260" t="e">
        <f>Mercado!#REF!</f>
        <v>#REF!</v>
      </c>
      <c r="C2" s="260" t="e">
        <f>Mercado!#REF!</f>
        <v>#REF!</v>
      </c>
      <c r="D2" s="260" t="e">
        <f>Mercado!#REF!</f>
        <v>#REF!</v>
      </c>
      <c r="E2" s="260" t="e">
        <f>Mercado!#REF!</f>
        <v>#REF!</v>
      </c>
      <c r="F2" s="260" t="e">
        <f>Mercado!#REF!</f>
        <v>#REF!</v>
      </c>
      <c r="G2" s="260" t="e">
        <f>Mercado!#REF!</f>
        <v>#REF!</v>
      </c>
      <c r="H2" s="260" t="e">
        <f>Mercado!#REF!</f>
        <v>#REF!</v>
      </c>
      <c r="I2" s="260" t="e">
        <f>Mercado!#REF!</f>
        <v>#REF!</v>
      </c>
      <c r="J2" s="260" t="e">
        <f>Mercado!#REF!</f>
        <v>#REF!</v>
      </c>
      <c r="K2" s="260" t="e">
        <f>Mercado!#REF!</f>
        <v>#REF!</v>
      </c>
      <c r="L2" s="260" t="e">
        <f>Mercado!#REF!</f>
        <v>#REF!</v>
      </c>
      <c r="M2" s="260" t="e">
        <f>Mercado!#REF!</f>
        <v>#REF!</v>
      </c>
      <c r="N2" s="7" t="e">
        <f>SUM(B2:M2)</f>
        <v>#REF!</v>
      </c>
      <c r="O2" s="7" t="e">
        <f>N2-Mercado!#REF!</f>
        <v>#REF!</v>
      </c>
    </row>
    <row r="3" spans="1:15" ht="15.75" thickBot="1">
      <c r="A3" t="s">
        <v>56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7"/>
    </row>
    <row r="4" spans="1:15">
      <c r="A4" s="29" t="s">
        <v>14</v>
      </c>
      <c r="B4" s="324" t="e">
        <f>SUM(#REF!)</f>
        <v>#REF!</v>
      </c>
      <c r="C4" s="324" t="e">
        <f>SUM(#REF!)</f>
        <v>#REF!</v>
      </c>
      <c r="D4" s="324" t="e">
        <f>SUM(#REF!)</f>
        <v>#REF!</v>
      </c>
      <c r="E4" s="324" t="e">
        <f>SUM(#REF!)</f>
        <v>#REF!</v>
      </c>
      <c r="F4" s="324" t="e">
        <f>SUM(#REF!)</f>
        <v>#REF!</v>
      </c>
      <c r="G4" s="324" t="e">
        <f>SUM(#REF!)</f>
        <v>#REF!</v>
      </c>
      <c r="H4" s="324" t="e">
        <f>SUM(#REF!)</f>
        <v>#REF!</v>
      </c>
      <c r="I4" s="324" t="e">
        <f>SUM(#REF!)</f>
        <v>#REF!</v>
      </c>
      <c r="J4" s="324" t="e">
        <f>SUM(#REF!)</f>
        <v>#REF!</v>
      </c>
      <c r="K4" s="324" t="e">
        <f>SUM(#REF!)</f>
        <v>#REF!</v>
      </c>
      <c r="L4" s="324" t="e">
        <f>SUM(#REF!)</f>
        <v>#REF!</v>
      </c>
      <c r="M4" s="324" t="e">
        <f>SUM(#REF!)</f>
        <v>#REF!</v>
      </c>
      <c r="N4" s="7" t="e">
        <f t="shared" ref="N4:N32" si="0">SUM(B4:M4)</f>
        <v>#REF!</v>
      </c>
      <c r="O4" s="7" t="e">
        <f>N4-Mercado!#REF!</f>
        <v>#REF!</v>
      </c>
    </row>
    <row r="5" spans="1:15" ht="15.75" thickBot="1">
      <c r="A5" t="s">
        <v>57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7"/>
    </row>
    <row r="6" spans="1:15">
      <c r="A6" s="29" t="s">
        <v>14</v>
      </c>
      <c r="B6" s="260" t="e">
        <f>Mercado!#REF!</f>
        <v>#REF!</v>
      </c>
      <c r="C6" s="260" t="e">
        <f>Mercado!#REF!</f>
        <v>#REF!</v>
      </c>
      <c r="D6" s="260" t="e">
        <f>Mercado!#REF!</f>
        <v>#REF!</v>
      </c>
      <c r="E6" s="260" t="e">
        <f>Mercado!#REF!</f>
        <v>#REF!</v>
      </c>
      <c r="F6" s="260" t="e">
        <f>Mercado!#REF!</f>
        <v>#REF!</v>
      </c>
      <c r="G6" s="260" t="e">
        <f>Mercado!#REF!</f>
        <v>#REF!</v>
      </c>
      <c r="H6" s="260" t="e">
        <f>Mercado!#REF!</f>
        <v>#REF!</v>
      </c>
      <c r="I6" s="260" t="e">
        <f>Mercado!#REF!</f>
        <v>#REF!</v>
      </c>
      <c r="J6" s="260" t="e">
        <f>Mercado!#REF!</f>
        <v>#REF!</v>
      </c>
      <c r="K6" s="260" t="e">
        <f>Mercado!#REF!</f>
        <v>#REF!</v>
      </c>
      <c r="L6" s="260" t="e">
        <f>Mercado!#REF!</f>
        <v>#REF!</v>
      </c>
      <c r="M6" s="260" t="e">
        <f>Mercado!#REF!</f>
        <v>#REF!</v>
      </c>
      <c r="N6" s="7" t="e">
        <f t="shared" si="0"/>
        <v>#REF!</v>
      </c>
      <c r="O6" s="7" t="e">
        <f>N6-Mercado!#REF!</f>
        <v>#REF!</v>
      </c>
    </row>
    <row r="7" spans="1:15" ht="15.75" thickBot="1">
      <c r="A7" t="s">
        <v>381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7"/>
    </row>
    <row r="8" spans="1:15">
      <c r="A8" s="29" t="s">
        <v>14</v>
      </c>
      <c r="B8" s="260" t="e">
        <f>Mercado!#REF!</f>
        <v>#REF!</v>
      </c>
      <c r="C8" s="260" t="e">
        <f>Mercado!#REF!</f>
        <v>#REF!</v>
      </c>
      <c r="D8" s="260" t="e">
        <f>Mercado!#REF!</f>
        <v>#REF!</v>
      </c>
      <c r="E8" s="260" t="e">
        <f>Mercado!#REF!</f>
        <v>#REF!</v>
      </c>
      <c r="F8" s="260" t="e">
        <f>Mercado!#REF!</f>
        <v>#REF!</v>
      </c>
      <c r="G8" s="260" t="e">
        <f>Mercado!#REF!</f>
        <v>#REF!</v>
      </c>
      <c r="H8" s="260" t="e">
        <f>Mercado!#REF!</f>
        <v>#REF!</v>
      </c>
      <c r="I8" s="260" t="e">
        <f>Mercado!#REF!</f>
        <v>#REF!</v>
      </c>
      <c r="J8" s="260" t="e">
        <f>Mercado!#REF!</f>
        <v>#REF!</v>
      </c>
      <c r="K8" s="260" t="e">
        <f>Mercado!#REF!</f>
        <v>#REF!</v>
      </c>
      <c r="L8" s="260" t="e">
        <f>Mercado!#REF!</f>
        <v>#REF!</v>
      </c>
      <c r="M8" s="260" t="e">
        <f>Mercado!#REF!</f>
        <v>#REF!</v>
      </c>
      <c r="N8" s="7" t="e">
        <f t="shared" si="0"/>
        <v>#REF!</v>
      </c>
      <c r="O8" s="7" t="e">
        <f>N8-Mercado!#REF!</f>
        <v>#REF!</v>
      </c>
    </row>
    <row r="9" spans="1:15" ht="15.75" thickBot="1">
      <c r="A9" t="s">
        <v>382</v>
      </c>
      <c r="N9" s="7"/>
    </row>
    <row r="10" spans="1:15">
      <c r="A10" s="29" t="s">
        <v>14</v>
      </c>
      <c r="B10" s="7" t="e">
        <f>Mercado!#REF!</f>
        <v>#REF!</v>
      </c>
      <c r="C10" s="7" t="e">
        <f>Mercado!#REF!</f>
        <v>#REF!</v>
      </c>
      <c r="D10" s="7" t="e">
        <f>Mercado!#REF!</f>
        <v>#REF!</v>
      </c>
      <c r="E10" s="7" t="e">
        <f>Mercado!#REF!</f>
        <v>#REF!</v>
      </c>
      <c r="F10" s="7" t="e">
        <f>Mercado!#REF!</f>
        <v>#REF!</v>
      </c>
      <c r="G10" s="7" t="e">
        <f>Mercado!#REF!</f>
        <v>#REF!</v>
      </c>
      <c r="H10" s="7" t="e">
        <f>Mercado!#REF!</f>
        <v>#REF!</v>
      </c>
      <c r="I10" s="7" t="e">
        <f>Mercado!#REF!</f>
        <v>#REF!</v>
      </c>
      <c r="J10" s="7" t="e">
        <f>Mercado!#REF!</f>
        <v>#REF!</v>
      </c>
      <c r="K10" s="7" t="e">
        <f>Mercado!#REF!</f>
        <v>#REF!</v>
      </c>
      <c r="L10" s="7" t="e">
        <f>Mercado!#REF!</f>
        <v>#REF!</v>
      </c>
      <c r="M10" s="7" t="e">
        <f>Mercado!#REF!</f>
        <v>#REF!</v>
      </c>
      <c r="N10" s="7" t="e">
        <f t="shared" si="0"/>
        <v>#REF!</v>
      </c>
      <c r="O10" s="7" t="e">
        <f>N10-Mercado!#REF!</f>
        <v>#REF!</v>
      </c>
    </row>
    <row r="11" spans="1:15">
      <c r="N11" s="7">
        <f t="shared" si="0"/>
        <v>0</v>
      </c>
    </row>
    <row r="12" spans="1:15">
      <c r="A12" t="s">
        <v>385</v>
      </c>
      <c r="N12" s="7">
        <f t="shared" si="0"/>
        <v>0</v>
      </c>
    </row>
    <row r="13" spans="1:15">
      <c r="A13" s="110" t="s">
        <v>196</v>
      </c>
      <c r="B13" s="7" t="e">
        <f>Mercado!#REF!</f>
        <v>#REF!</v>
      </c>
      <c r="C13" s="7" t="e">
        <f>Mercado!#REF!</f>
        <v>#REF!</v>
      </c>
      <c r="D13" s="7" t="e">
        <f>Mercado!#REF!</f>
        <v>#REF!</v>
      </c>
      <c r="E13" s="7" t="e">
        <f>Mercado!#REF!</f>
        <v>#REF!</v>
      </c>
      <c r="F13" s="7" t="e">
        <f>Mercado!#REF!</f>
        <v>#REF!</v>
      </c>
      <c r="G13" s="7" t="e">
        <f>Mercado!#REF!</f>
        <v>#REF!</v>
      </c>
      <c r="H13" s="7" t="e">
        <f>Mercado!#REF!</f>
        <v>#REF!</v>
      </c>
      <c r="I13" s="7" t="e">
        <f>Mercado!#REF!</f>
        <v>#REF!</v>
      </c>
      <c r="J13" s="7" t="e">
        <f>Mercado!#REF!</f>
        <v>#REF!</v>
      </c>
      <c r="K13" s="7" t="e">
        <f>Mercado!#REF!</f>
        <v>#REF!</v>
      </c>
      <c r="L13" s="7" t="e">
        <f>Mercado!#REF!</f>
        <v>#REF!</v>
      </c>
      <c r="M13" s="7" t="e">
        <f>Mercado!#REF!</f>
        <v>#REF!</v>
      </c>
      <c r="N13" s="7" t="e">
        <f t="shared" si="0"/>
        <v>#REF!</v>
      </c>
      <c r="O13" s="7" t="e">
        <f>N13-Mercado!#REF!</f>
        <v>#REF!</v>
      </c>
    </row>
    <row r="14" spans="1:15">
      <c r="A14" t="s">
        <v>56</v>
      </c>
      <c r="N14" s="7">
        <f t="shared" si="0"/>
        <v>0</v>
      </c>
    </row>
    <row r="15" spans="1:15">
      <c r="A15" s="110" t="s">
        <v>196</v>
      </c>
      <c r="B15" s="7" t="e">
        <f>Mercado!#REF!</f>
        <v>#REF!</v>
      </c>
      <c r="C15" s="7" t="e">
        <f>Mercado!#REF!</f>
        <v>#REF!</v>
      </c>
      <c r="D15" s="7" t="e">
        <f>Mercado!#REF!</f>
        <v>#REF!</v>
      </c>
      <c r="E15" s="7" t="e">
        <f>Mercado!#REF!</f>
        <v>#REF!</v>
      </c>
      <c r="F15" s="7" t="e">
        <f>Mercado!#REF!</f>
        <v>#REF!</v>
      </c>
      <c r="G15" s="7" t="e">
        <f>Mercado!#REF!</f>
        <v>#REF!</v>
      </c>
      <c r="H15" s="7" t="e">
        <f>Mercado!#REF!</f>
        <v>#REF!</v>
      </c>
      <c r="I15" s="7" t="e">
        <f>Mercado!#REF!</f>
        <v>#REF!</v>
      </c>
      <c r="J15" s="7" t="e">
        <f>Mercado!#REF!</f>
        <v>#REF!</v>
      </c>
      <c r="K15" s="7" t="e">
        <f>Mercado!#REF!</f>
        <v>#REF!</v>
      </c>
      <c r="L15" s="7" t="e">
        <f>Mercado!#REF!</f>
        <v>#REF!</v>
      </c>
      <c r="M15" s="7" t="e">
        <f>Mercado!#REF!</f>
        <v>#REF!</v>
      </c>
      <c r="N15" s="7" t="e">
        <f t="shared" si="0"/>
        <v>#REF!</v>
      </c>
      <c r="O15" s="7" t="e">
        <f>N15-Mercado!#REF!</f>
        <v>#REF!</v>
      </c>
    </row>
    <row r="16" spans="1:15">
      <c r="A16" t="s">
        <v>57</v>
      </c>
      <c r="N16" s="7">
        <f t="shared" si="0"/>
        <v>0</v>
      </c>
    </row>
    <row r="17" spans="1:15">
      <c r="A17" s="110" t="s">
        <v>196</v>
      </c>
      <c r="B17" s="7" t="e">
        <f>Mercado!#REF!</f>
        <v>#REF!</v>
      </c>
      <c r="C17" s="7" t="e">
        <f>Mercado!#REF!</f>
        <v>#REF!</v>
      </c>
      <c r="D17" s="7" t="e">
        <f>Mercado!#REF!</f>
        <v>#REF!</v>
      </c>
      <c r="E17" s="7" t="e">
        <f>Mercado!#REF!</f>
        <v>#REF!</v>
      </c>
      <c r="F17" s="7" t="e">
        <f>Mercado!#REF!</f>
        <v>#REF!</v>
      </c>
      <c r="G17" s="7" t="e">
        <f>Mercado!#REF!</f>
        <v>#REF!</v>
      </c>
      <c r="H17" s="7" t="e">
        <f>Mercado!#REF!</f>
        <v>#REF!</v>
      </c>
      <c r="I17" s="7" t="e">
        <f>Mercado!#REF!</f>
        <v>#REF!</v>
      </c>
      <c r="J17" s="7" t="e">
        <f>Mercado!#REF!</f>
        <v>#REF!</v>
      </c>
      <c r="K17" s="7" t="e">
        <f>Mercado!#REF!</f>
        <v>#REF!</v>
      </c>
      <c r="L17" s="7" t="e">
        <f>Mercado!#REF!</f>
        <v>#REF!</v>
      </c>
      <c r="M17" s="7" t="e">
        <f>Mercado!#REF!</f>
        <v>#REF!</v>
      </c>
      <c r="N17" s="7" t="e">
        <f t="shared" si="0"/>
        <v>#REF!</v>
      </c>
      <c r="O17" s="7" t="e">
        <f>N17-Mercado!#REF!</f>
        <v>#REF!</v>
      </c>
    </row>
    <row r="18" spans="1:15">
      <c r="A18" t="s">
        <v>381</v>
      </c>
      <c r="N18" s="7">
        <f t="shared" si="0"/>
        <v>0</v>
      </c>
    </row>
    <row r="19" spans="1:15">
      <c r="A19" s="110" t="s">
        <v>196</v>
      </c>
      <c r="B19" s="7" t="e">
        <f>Mercado!#REF!</f>
        <v>#REF!</v>
      </c>
      <c r="C19" s="7" t="e">
        <f>Mercado!#REF!</f>
        <v>#REF!</v>
      </c>
      <c r="D19" s="7" t="e">
        <f>Mercado!#REF!</f>
        <v>#REF!</v>
      </c>
      <c r="E19" s="7" t="e">
        <f>Mercado!#REF!</f>
        <v>#REF!</v>
      </c>
      <c r="F19" s="7" t="e">
        <f>Mercado!#REF!</f>
        <v>#REF!</v>
      </c>
      <c r="G19" s="7" t="e">
        <f>Mercado!#REF!</f>
        <v>#REF!</v>
      </c>
      <c r="H19" s="7" t="e">
        <f>Mercado!#REF!</f>
        <v>#REF!</v>
      </c>
      <c r="I19" s="7" t="e">
        <f>Mercado!#REF!</f>
        <v>#REF!</v>
      </c>
      <c r="J19" s="7" t="e">
        <f>Mercado!#REF!</f>
        <v>#REF!</v>
      </c>
      <c r="K19" s="7" t="e">
        <f>Mercado!#REF!</f>
        <v>#REF!</v>
      </c>
      <c r="L19" s="7" t="e">
        <f>Mercado!#REF!</f>
        <v>#REF!</v>
      </c>
      <c r="M19" s="7" t="e">
        <f>Mercado!#REF!</f>
        <v>#REF!</v>
      </c>
      <c r="N19" s="7" t="e">
        <f t="shared" si="0"/>
        <v>#REF!</v>
      </c>
      <c r="O19" s="7" t="e">
        <f>N19-Mercado!#REF!</f>
        <v>#REF!</v>
      </c>
    </row>
    <row r="20" spans="1:15">
      <c r="A20" t="s">
        <v>382</v>
      </c>
      <c r="N20" s="7">
        <f t="shared" si="0"/>
        <v>0</v>
      </c>
    </row>
    <row r="21" spans="1:15">
      <c r="A21" s="110" t="s">
        <v>196</v>
      </c>
      <c r="B21" s="7" t="e">
        <f>Mercado!#REF!</f>
        <v>#REF!</v>
      </c>
      <c r="C21" s="7" t="e">
        <f>Mercado!#REF!</f>
        <v>#REF!</v>
      </c>
      <c r="D21" s="7" t="e">
        <f>Mercado!#REF!</f>
        <v>#REF!</v>
      </c>
      <c r="E21" s="7" t="e">
        <f>Mercado!#REF!</f>
        <v>#REF!</v>
      </c>
      <c r="F21" s="7" t="e">
        <f>Mercado!#REF!</f>
        <v>#REF!</v>
      </c>
      <c r="G21" s="7" t="e">
        <f>Mercado!#REF!</f>
        <v>#REF!</v>
      </c>
      <c r="H21" s="7" t="e">
        <f>Mercado!#REF!</f>
        <v>#REF!</v>
      </c>
      <c r="I21" s="7" t="e">
        <f>Mercado!#REF!</f>
        <v>#REF!</v>
      </c>
      <c r="J21" s="7" t="e">
        <f>Mercado!#REF!</f>
        <v>#REF!</v>
      </c>
      <c r="K21" s="7" t="e">
        <f>Mercado!#REF!</f>
        <v>#REF!</v>
      </c>
      <c r="L21" s="7" t="e">
        <f>Mercado!#REF!</f>
        <v>#REF!</v>
      </c>
      <c r="M21" s="7" t="e">
        <f>Mercado!#REF!</f>
        <v>#REF!</v>
      </c>
      <c r="N21" s="7" t="e">
        <f t="shared" si="0"/>
        <v>#REF!</v>
      </c>
      <c r="O21" s="7" t="e">
        <f>N21-Mercado!#REF!</f>
        <v>#REF!</v>
      </c>
    </row>
    <row r="22" spans="1:15">
      <c r="N22" s="7"/>
    </row>
    <row r="23" spans="1:15">
      <c r="A23" t="s">
        <v>385</v>
      </c>
      <c r="N23" s="7"/>
    </row>
    <row r="24" spans="1:15">
      <c r="A24" s="111" t="s">
        <v>195</v>
      </c>
      <c r="B24" s="7" t="e">
        <f>Mercado!#REF!</f>
        <v>#REF!</v>
      </c>
      <c r="C24" s="7" t="e">
        <f>Mercado!#REF!</f>
        <v>#REF!</v>
      </c>
      <c r="D24" s="7" t="e">
        <f>Mercado!#REF!</f>
        <v>#REF!</v>
      </c>
      <c r="E24" s="7" t="e">
        <f>Mercado!#REF!</f>
        <v>#REF!</v>
      </c>
      <c r="F24" s="7" t="e">
        <f>Mercado!#REF!</f>
        <v>#REF!</v>
      </c>
      <c r="G24" s="7" t="e">
        <f>Mercado!#REF!</f>
        <v>#REF!</v>
      </c>
      <c r="H24" s="7" t="e">
        <f>Mercado!#REF!</f>
        <v>#REF!</v>
      </c>
      <c r="I24" s="7" t="e">
        <f>Mercado!#REF!</f>
        <v>#REF!</v>
      </c>
      <c r="J24" s="7" t="e">
        <f>Mercado!#REF!</f>
        <v>#REF!</v>
      </c>
      <c r="K24" s="7" t="e">
        <f>Mercado!#REF!</f>
        <v>#REF!</v>
      </c>
      <c r="L24" s="7" t="e">
        <f>Mercado!#REF!</f>
        <v>#REF!</v>
      </c>
      <c r="M24" s="7" t="e">
        <f>Mercado!#REF!</f>
        <v>#REF!</v>
      </c>
      <c r="N24" s="7" t="e">
        <f t="shared" si="0"/>
        <v>#REF!</v>
      </c>
      <c r="O24" s="7" t="e">
        <f>N24-Mercado!#REF!</f>
        <v>#REF!</v>
      </c>
    </row>
    <row r="25" spans="1:15">
      <c r="A25" t="s">
        <v>56</v>
      </c>
      <c r="N25" s="7"/>
    </row>
    <row r="26" spans="1:15">
      <c r="A26" s="111" t="s">
        <v>195</v>
      </c>
      <c r="B26" s="7" t="e">
        <f>Mercado!#REF!</f>
        <v>#REF!</v>
      </c>
      <c r="C26" s="7" t="e">
        <f>Mercado!#REF!</f>
        <v>#REF!</v>
      </c>
      <c r="D26" s="7" t="e">
        <f>Mercado!#REF!</f>
        <v>#REF!</v>
      </c>
      <c r="E26" s="7" t="e">
        <f>Mercado!#REF!</f>
        <v>#REF!</v>
      </c>
      <c r="F26" s="7" t="e">
        <f>Mercado!#REF!</f>
        <v>#REF!</v>
      </c>
      <c r="G26" s="7" t="e">
        <f>Mercado!#REF!</f>
        <v>#REF!</v>
      </c>
      <c r="H26" s="7" t="e">
        <f>Mercado!#REF!</f>
        <v>#REF!</v>
      </c>
      <c r="I26" s="7" t="e">
        <f>Mercado!#REF!</f>
        <v>#REF!</v>
      </c>
      <c r="J26" s="7" t="e">
        <f>Mercado!#REF!</f>
        <v>#REF!</v>
      </c>
      <c r="K26" s="7" t="e">
        <f>Mercado!#REF!</f>
        <v>#REF!</v>
      </c>
      <c r="L26" s="7" t="e">
        <f>Mercado!#REF!</f>
        <v>#REF!</v>
      </c>
      <c r="M26" s="7" t="e">
        <f>Mercado!#REF!</f>
        <v>#REF!</v>
      </c>
      <c r="N26" s="7" t="e">
        <f t="shared" si="0"/>
        <v>#REF!</v>
      </c>
      <c r="O26" s="7" t="e">
        <f>Mercado!#REF!-Demanda!N26</f>
        <v>#REF!</v>
      </c>
    </row>
    <row r="27" spans="1:15">
      <c r="A27" t="s">
        <v>57</v>
      </c>
      <c r="N27" s="7"/>
    </row>
    <row r="28" spans="1:15">
      <c r="A28" s="111" t="s">
        <v>195</v>
      </c>
      <c r="B28" s="7" t="e">
        <f>Mercado!#REF!</f>
        <v>#REF!</v>
      </c>
      <c r="C28" s="7" t="e">
        <f>Mercado!#REF!</f>
        <v>#REF!</v>
      </c>
      <c r="D28" s="7" t="e">
        <f>Mercado!#REF!</f>
        <v>#REF!</v>
      </c>
      <c r="E28" s="7" t="e">
        <f>Mercado!#REF!</f>
        <v>#REF!</v>
      </c>
      <c r="F28" s="7" t="e">
        <f>Mercado!#REF!</f>
        <v>#REF!</v>
      </c>
      <c r="G28" s="7" t="e">
        <f>Mercado!#REF!</f>
        <v>#REF!</v>
      </c>
      <c r="H28" s="7" t="e">
        <f>Mercado!#REF!</f>
        <v>#REF!</v>
      </c>
      <c r="I28" s="7" t="e">
        <f>Mercado!#REF!</f>
        <v>#REF!</v>
      </c>
      <c r="J28" s="7" t="e">
        <f>Mercado!#REF!</f>
        <v>#REF!</v>
      </c>
      <c r="K28" s="7" t="e">
        <f>Mercado!#REF!</f>
        <v>#REF!</v>
      </c>
      <c r="L28" s="7" t="e">
        <f>Mercado!#REF!</f>
        <v>#REF!</v>
      </c>
      <c r="M28" s="7" t="e">
        <f>Mercado!#REF!</f>
        <v>#REF!</v>
      </c>
      <c r="N28" s="7" t="e">
        <f t="shared" si="0"/>
        <v>#REF!</v>
      </c>
      <c r="O28" s="7" t="e">
        <f>N28-Mercado!#REF!</f>
        <v>#REF!</v>
      </c>
    </row>
    <row r="29" spans="1:15">
      <c r="A29" t="s">
        <v>381</v>
      </c>
      <c r="N29" s="7"/>
    </row>
    <row r="30" spans="1:15">
      <c r="A30" s="111" t="s">
        <v>195</v>
      </c>
      <c r="B30" s="7" t="e">
        <f>Mercado!#REF!</f>
        <v>#REF!</v>
      </c>
      <c r="C30" s="7" t="e">
        <f>Mercado!#REF!</f>
        <v>#REF!</v>
      </c>
      <c r="D30" s="7" t="e">
        <f>Mercado!#REF!</f>
        <v>#REF!</v>
      </c>
      <c r="E30" s="7" t="e">
        <f>Mercado!#REF!</f>
        <v>#REF!</v>
      </c>
      <c r="F30" s="7" t="e">
        <f>Mercado!#REF!</f>
        <v>#REF!</v>
      </c>
      <c r="G30" s="7" t="e">
        <f>Mercado!#REF!</f>
        <v>#REF!</v>
      </c>
      <c r="H30" s="7" t="e">
        <f>Mercado!#REF!</f>
        <v>#REF!</v>
      </c>
      <c r="I30" s="7" t="e">
        <f>Mercado!#REF!</f>
        <v>#REF!</v>
      </c>
      <c r="J30" s="7" t="e">
        <f>Mercado!#REF!</f>
        <v>#REF!</v>
      </c>
      <c r="K30" s="7" t="e">
        <f>Mercado!#REF!</f>
        <v>#REF!</v>
      </c>
      <c r="L30" s="7" t="e">
        <f>Mercado!#REF!</f>
        <v>#REF!</v>
      </c>
      <c r="M30" s="7" t="e">
        <f>Mercado!#REF!</f>
        <v>#REF!</v>
      </c>
      <c r="N30" s="7" t="e">
        <f t="shared" si="0"/>
        <v>#REF!</v>
      </c>
      <c r="O30" s="7" t="e">
        <f>N30-Mercado!#REF!</f>
        <v>#REF!</v>
      </c>
    </row>
    <row r="31" spans="1:15">
      <c r="A31" t="s">
        <v>382</v>
      </c>
      <c r="N31" s="7"/>
    </row>
    <row r="32" spans="1:15">
      <c r="A32" s="111" t="s">
        <v>195</v>
      </c>
      <c r="B32" s="7" t="e">
        <f>Mercado!#REF!</f>
        <v>#REF!</v>
      </c>
      <c r="C32" s="7" t="e">
        <f>Mercado!#REF!</f>
        <v>#REF!</v>
      </c>
      <c r="D32" s="7" t="e">
        <f>Mercado!#REF!</f>
        <v>#REF!</v>
      </c>
      <c r="E32" s="7" t="e">
        <f>Mercado!#REF!</f>
        <v>#REF!</v>
      </c>
      <c r="F32" s="7" t="e">
        <f>Mercado!#REF!</f>
        <v>#REF!</v>
      </c>
      <c r="G32" s="7" t="e">
        <f>Mercado!#REF!</f>
        <v>#REF!</v>
      </c>
      <c r="H32" s="7" t="e">
        <f>Mercado!#REF!</f>
        <v>#REF!</v>
      </c>
      <c r="I32" s="7" t="e">
        <f>Mercado!#REF!</f>
        <v>#REF!</v>
      </c>
      <c r="J32" s="7" t="e">
        <f>Mercado!#REF!</f>
        <v>#REF!</v>
      </c>
      <c r="K32" s="7" t="e">
        <f>Mercado!#REF!</f>
        <v>#REF!</v>
      </c>
      <c r="L32" s="7" t="e">
        <f>Mercado!#REF!</f>
        <v>#REF!</v>
      </c>
      <c r="M32" s="7" t="e">
        <f>Mercado!#REF!</f>
        <v>#REF!</v>
      </c>
      <c r="N32" s="7" t="e">
        <f t="shared" si="0"/>
        <v>#REF!</v>
      </c>
      <c r="O32" s="7" t="e">
        <f>N32-Mercado!#REF!</f>
        <v>#REF!</v>
      </c>
    </row>
    <row r="33" spans="14:14">
      <c r="N3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Capa</vt:lpstr>
      <vt:lpstr>Investimento Inicial</vt:lpstr>
      <vt:lpstr>Calculo de custo</vt:lpstr>
      <vt:lpstr>Salários</vt:lpstr>
      <vt:lpstr>Calculo Custo Serviço</vt:lpstr>
      <vt:lpstr>Mercado</vt:lpstr>
      <vt:lpstr>Cálculo M.O terceirizada</vt:lpstr>
      <vt:lpstr>Demanda Kw</vt:lpstr>
      <vt:lpstr>Demanda</vt:lpstr>
      <vt:lpstr>faturamento</vt:lpstr>
      <vt:lpstr>Fluxo de Caixa 01</vt:lpstr>
      <vt:lpstr>Fluxo de Caixa 02</vt:lpstr>
      <vt:lpstr>Fluxo de caixa 03</vt:lpstr>
      <vt:lpstr>Balanço</vt:lpstr>
      <vt:lpstr>Planilha3</vt:lpstr>
      <vt:lpstr>Planilha2</vt:lpstr>
      <vt:lpstr>Custo M.O</vt:lpstr>
      <vt:lpstr>Fluxo de Caixa 04</vt:lpstr>
      <vt:lpstr>Fluxo de Caixa 05</vt:lpstr>
      <vt:lpstr>Custos tabela</vt:lpstr>
      <vt:lpstr>Rozonete Inicial</vt:lpstr>
      <vt:lpstr>Razonete Ano2</vt:lpstr>
      <vt:lpstr>Indíces</vt:lpstr>
      <vt:lpstr>Empréstimo</vt:lpstr>
      <vt:lpstr>FC TRABALHO</vt:lpstr>
      <vt:lpstr>impostos</vt:lpstr>
      <vt:lpstr>IRPJ</vt:lpstr>
      <vt:lpstr>Simples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Sampaio</dc:creator>
  <cp:lastModifiedBy>Aluno</cp:lastModifiedBy>
  <cp:lastPrinted>2018-08-09T13:47:01Z</cp:lastPrinted>
  <dcterms:created xsi:type="dcterms:W3CDTF">2017-10-20T01:38:46Z</dcterms:created>
  <dcterms:modified xsi:type="dcterms:W3CDTF">2024-04-30T00:13:39Z</dcterms:modified>
</cp:coreProperties>
</file>