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magicii/OneDrive/School/Fall 2019/COSC6365/Assignment6/Report/"/>
    </mc:Choice>
  </mc:AlternateContent>
  <bookViews>
    <workbookView xWindow="0" yWindow="460" windowWidth="25600" windowHeight="14520" tabRatio="500" activeTab="1"/>
  </bookViews>
  <sheets>
    <sheet name="Ping-pong" sheetId="1" r:id="rId1"/>
    <sheet name="Broadcast - Reduce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2" l="1"/>
  <c r="L11" i="2"/>
  <c r="L10" i="2"/>
  <c r="L9" i="2"/>
  <c r="L8" i="2"/>
  <c r="L7" i="2"/>
  <c r="L6" i="2"/>
  <c r="L5" i="2"/>
  <c r="L4" i="2"/>
  <c r="K12" i="2"/>
  <c r="K11" i="2"/>
  <c r="K10" i="2"/>
  <c r="K9" i="2"/>
  <c r="K8" i="2"/>
  <c r="K7" i="2"/>
  <c r="K6" i="2"/>
  <c r="K5" i="2"/>
  <c r="K4" i="2"/>
  <c r="J12" i="2"/>
  <c r="J11" i="2"/>
  <c r="J10" i="2"/>
  <c r="J9" i="2"/>
  <c r="J8" i="2"/>
  <c r="J7" i="2"/>
  <c r="J6" i="2"/>
  <c r="J5" i="2"/>
  <c r="J4" i="2"/>
  <c r="I12" i="2"/>
  <c r="I11" i="2"/>
  <c r="I10" i="2"/>
  <c r="I9" i="2"/>
  <c r="I8" i="2"/>
  <c r="I7" i="2"/>
  <c r="I6" i="2"/>
  <c r="I5" i="2"/>
  <c r="I4" i="2"/>
  <c r="AF39" i="1"/>
  <c r="AF40" i="1"/>
  <c r="AF41" i="1"/>
  <c r="AF42" i="1"/>
  <c r="AF43" i="1"/>
  <c r="AF44" i="1"/>
  <c r="AF45" i="1"/>
  <c r="AF46" i="1"/>
  <c r="AE39" i="1"/>
  <c r="AE40" i="1"/>
  <c r="AE41" i="1"/>
  <c r="AE42" i="1"/>
  <c r="AE43" i="1"/>
  <c r="AE44" i="1"/>
  <c r="AE45" i="1"/>
  <c r="AE46" i="1"/>
  <c r="AD39" i="1"/>
  <c r="AD40" i="1"/>
  <c r="AD41" i="1"/>
  <c r="AD42" i="1"/>
  <c r="AD43" i="1"/>
  <c r="AD44" i="1"/>
  <c r="AD45" i="1"/>
  <c r="AD46" i="1"/>
  <c r="AC39" i="1"/>
  <c r="AC40" i="1"/>
  <c r="AC41" i="1"/>
  <c r="AC42" i="1"/>
  <c r="AC43" i="1"/>
  <c r="AC44" i="1"/>
  <c r="AC45" i="1"/>
  <c r="AC46" i="1"/>
  <c r="AB39" i="1"/>
  <c r="AB40" i="1"/>
  <c r="AB41" i="1"/>
  <c r="AB42" i="1"/>
  <c r="AB43" i="1"/>
  <c r="AB44" i="1"/>
  <c r="AB45" i="1"/>
  <c r="AB46" i="1"/>
  <c r="AF38" i="1"/>
  <c r="AE38" i="1"/>
  <c r="AD38" i="1"/>
  <c r="AC38" i="1"/>
  <c r="AB38" i="1"/>
  <c r="AA39" i="1"/>
  <c r="AA40" i="1"/>
  <c r="AA41" i="1"/>
  <c r="AA42" i="1"/>
  <c r="AA43" i="1"/>
  <c r="AA44" i="1"/>
  <c r="AA45" i="1"/>
  <c r="AA46" i="1"/>
  <c r="AA38" i="1"/>
  <c r="AF6" i="1"/>
  <c r="AF7" i="1"/>
  <c r="AF8" i="1"/>
  <c r="AF9" i="1"/>
  <c r="AF10" i="1"/>
  <c r="AF11" i="1"/>
  <c r="AF12" i="1"/>
  <c r="AF13" i="1"/>
  <c r="AE6" i="1"/>
  <c r="AE7" i="1"/>
  <c r="AE8" i="1"/>
  <c r="AE9" i="1"/>
  <c r="AE10" i="1"/>
  <c r="AE11" i="1"/>
  <c r="AE12" i="1"/>
  <c r="AE13" i="1"/>
  <c r="AD6" i="1"/>
  <c r="AD7" i="1"/>
  <c r="AD8" i="1"/>
  <c r="AD9" i="1"/>
  <c r="AD10" i="1"/>
  <c r="AD11" i="1"/>
  <c r="AD12" i="1"/>
  <c r="AD13" i="1"/>
  <c r="AC6" i="1"/>
  <c r="AC7" i="1"/>
  <c r="AC8" i="1"/>
  <c r="AC9" i="1"/>
  <c r="AC10" i="1"/>
  <c r="AC11" i="1"/>
  <c r="AC12" i="1"/>
  <c r="AC13" i="1"/>
  <c r="AF5" i="1"/>
  <c r="AE5" i="1"/>
  <c r="AD5" i="1"/>
  <c r="AC5" i="1"/>
  <c r="AB6" i="1"/>
  <c r="AB7" i="1"/>
  <c r="AB8" i="1"/>
  <c r="AB9" i="1"/>
  <c r="AB10" i="1"/>
  <c r="AB11" i="1"/>
  <c r="AB12" i="1"/>
  <c r="AB13" i="1"/>
  <c r="AB5" i="1"/>
  <c r="AA5" i="1"/>
  <c r="AA6" i="1"/>
  <c r="AA7" i="1"/>
  <c r="AA8" i="1"/>
  <c r="AA9" i="1"/>
  <c r="AA10" i="1"/>
  <c r="AA11" i="1"/>
  <c r="AA12" i="1"/>
  <c r="AA13" i="1"/>
  <c r="J5" i="1"/>
  <c r="K5" i="1"/>
  <c r="L5" i="1"/>
  <c r="M5" i="1"/>
  <c r="N5" i="1"/>
  <c r="O5" i="1"/>
  <c r="J8" i="1"/>
  <c r="K8" i="1"/>
  <c r="L8" i="1"/>
  <c r="M8" i="1"/>
  <c r="N8" i="1"/>
  <c r="O8" i="1"/>
  <c r="J11" i="1"/>
  <c r="K11" i="1"/>
  <c r="L11" i="1"/>
  <c r="M11" i="1"/>
  <c r="N11" i="1"/>
  <c r="O11" i="1"/>
  <c r="J14" i="1"/>
  <c r="K14" i="1"/>
  <c r="L14" i="1"/>
  <c r="M14" i="1"/>
  <c r="N14" i="1"/>
  <c r="O14" i="1"/>
  <c r="J17" i="1"/>
  <c r="K17" i="1"/>
  <c r="L17" i="1"/>
  <c r="M17" i="1"/>
  <c r="N17" i="1"/>
  <c r="O17" i="1"/>
  <c r="J20" i="1"/>
  <c r="K20" i="1"/>
  <c r="L20" i="1"/>
  <c r="M20" i="1"/>
  <c r="N20" i="1"/>
  <c r="O20" i="1"/>
  <c r="J23" i="1"/>
  <c r="K23" i="1"/>
  <c r="L23" i="1"/>
  <c r="M23" i="1"/>
  <c r="N23" i="1"/>
  <c r="O23" i="1"/>
  <c r="J26" i="1"/>
  <c r="K26" i="1"/>
  <c r="L26" i="1"/>
  <c r="M26" i="1"/>
  <c r="N26" i="1"/>
  <c r="O26" i="1"/>
  <c r="J29" i="1"/>
  <c r="K29" i="1"/>
  <c r="L29" i="1"/>
  <c r="M29" i="1"/>
  <c r="N29" i="1"/>
  <c r="O29" i="1"/>
  <c r="P19" i="2"/>
  <c r="P18" i="2"/>
  <c r="P17" i="2"/>
  <c r="O19" i="2"/>
  <c r="O18" i="2"/>
  <c r="O17" i="2"/>
  <c r="N19" i="2"/>
  <c r="N18" i="2"/>
  <c r="N17" i="2"/>
  <c r="M19" i="2"/>
  <c r="M18" i="2"/>
  <c r="M17" i="2"/>
  <c r="L19" i="2"/>
  <c r="L18" i="2"/>
  <c r="L17" i="2"/>
  <c r="K19" i="2"/>
  <c r="K18" i="2"/>
  <c r="K17" i="2"/>
  <c r="G19" i="2"/>
  <c r="F19" i="2"/>
  <c r="F18" i="2"/>
  <c r="G18" i="2"/>
  <c r="H18" i="2"/>
  <c r="H17" i="2"/>
  <c r="G17" i="2"/>
  <c r="F17" i="2"/>
  <c r="H19" i="2"/>
  <c r="E19" i="2"/>
  <c r="E18" i="2"/>
  <c r="E17" i="2"/>
  <c r="D19" i="2"/>
  <c r="D18" i="2"/>
  <c r="D17" i="2"/>
  <c r="C19" i="2"/>
  <c r="C18" i="2"/>
  <c r="C17" i="2"/>
  <c r="H12" i="2"/>
  <c r="H11" i="2"/>
  <c r="H10" i="2"/>
  <c r="H9" i="2"/>
  <c r="H8" i="2"/>
  <c r="H7" i="2"/>
  <c r="H6" i="2"/>
  <c r="H5" i="2"/>
  <c r="H4" i="2"/>
  <c r="G12" i="2"/>
  <c r="G11" i="2"/>
  <c r="G10" i="2"/>
  <c r="G9" i="2"/>
  <c r="G8" i="2"/>
  <c r="G7" i="2"/>
  <c r="G6" i="2"/>
  <c r="G5" i="2"/>
  <c r="G4" i="2"/>
  <c r="F12" i="2"/>
  <c r="F11" i="2"/>
  <c r="F10" i="2"/>
  <c r="F9" i="2"/>
  <c r="F8" i="2"/>
  <c r="F7" i="2"/>
  <c r="F6" i="2"/>
  <c r="F5" i="2"/>
  <c r="F4" i="2"/>
  <c r="E12" i="2"/>
  <c r="E11" i="2"/>
  <c r="E10" i="2"/>
  <c r="E9" i="2"/>
  <c r="E8" i="2"/>
  <c r="E7" i="2"/>
  <c r="E6" i="2"/>
  <c r="E5" i="2"/>
  <c r="E4" i="2"/>
  <c r="D12" i="2"/>
  <c r="D11" i="2"/>
  <c r="D10" i="2"/>
  <c r="C12" i="2"/>
  <c r="C11" i="2"/>
  <c r="C10" i="2"/>
  <c r="D9" i="2"/>
  <c r="D8" i="2"/>
  <c r="D7" i="2"/>
  <c r="C9" i="2"/>
  <c r="C8" i="2"/>
  <c r="C7" i="2"/>
  <c r="D6" i="2"/>
  <c r="D5" i="2"/>
  <c r="D4" i="2"/>
  <c r="C6" i="2"/>
  <c r="C5" i="2"/>
  <c r="C4" i="2"/>
  <c r="B62" i="1"/>
  <c r="B63" i="1"/>
  <c r="B64" i="1"/>
  <c r="J62" i="1"/>
  <c r="R62" i="1"/>
  <c r="C62" i="1"/>
  <c r="C63" i="1"/>
  <c r="C64" i="1"/>
  <c r="K62" i="1"/>
  <c r="S62" i="1"/>
  <c r="D62" i="1"/>
  <c r="D63" i="1"/>
  <c r="D64" i="1"/>
  <c r="L62" i="1"/>
  <c r="T62" i="1"/>
  <c r="E62" i="1"/>
  <c r="E63" i="1"/>
  <c r="E64" i="1"/>
  <c r="M62" i="1"/>
  <c r="U62" i="1"/>
  <c r="F62" i="1"/>
  <c r="F63" i="1"/>
  <c r="F64" i="1"/>
  <c r="N62" i="1"/>
  <c r="V62" i="1"/>
  <c r="G62" i="1"/>
  <c r="G63" i="1"/>
  <c r="G64" i="1"/>
  <c r="O62" i="1"/>
  <c r="W62" i="1"/>
  <c r="B41" i="1"/>
  <c r="B42" i="1"/>
  <c r="B43" i="1"/>
  <c r="J41" i="1"/>
  <c r="R41" i="1"/>
  <c r="C41" i="1"/>
  <c r="C42" i="1"/>
  <c r="C43" i="1"/>
  <c r="K41" i="1"/>
  <c r="S41" i="1"/>
  <c r="D41" i="1"/>
  <c r="D42" i="1"/>
  <c r="D43" i="1"/>
  <c r="L41" i="1"/>
  <c r="T41" i="1"/>
  <c r="E41" i="1"/>
  <c r="E42" i="1"/>
  <c r="E43" i="1"/>
  <c r="M41" i="1"/>
  <c r="U41" i="1"/>
  <c r="F41" i="1"/>
  <c r="F42" i="1"/>
  <c r="F43" i="1"/>
  <c r="N41" i="1"/>
  <c r="V41" i="1"/>
  <c r="G41" i="1"/>
  <c r="G42" i="1"/>
  <c r="G43" i="1"/>
  <c r="O41" i="1"/>
  <c r="W41" i="1"/>
  <c r="B44" i="1"/>
  <c r="B45" i="1"/>
  <c r="B46" i="1"/>
  <c r="J44" i="1"/>
  <c r="R44" i="1"/>
  <c r="C44" i="1"/>
  <c r="C45" i="1"/>
  <c r="C46" i="1"/>
  <c r="K44" i="1"/>
  <c r="S44" i="1"/>
  <c r="D44" i="1"/>
  <c r="D45" i="1"/>
  <c r="D46" i="1"/>
  <c r="L44" i="1"/>
  <c r="T44" i="1"/>
  <c r="E44" i="1"/>
  <c r="E45" i="1"/>
  <c r="E46" i="1"/>
  <c r="M44" i="1"/>
  <c r="U44" i="1"/>
  <c r="F44" i="1"/>
  <c r="F45" i="1"/>
  <c r="F46" i="1"/>
  <c r="N44" i="1"/>
  <c r="V44" i="1"/>
  <c r="G44" i="1"/>
  <c r="G45" i="1"/>
  <c r="G46" i="1"/>
  <c r="O44" i="1"/>
  <c r="W44" i="1"/>
  <c r="B47" i="1"/>
  <c r="B48" i="1"/>
  <c r="B49" i="1"/>
  <c r="J47" i="1"/>
  <c r="R47" i="1"/>
  <c r="C47" i="1"/>
  <c r="C48" i="1"/>
  <c r="C49" i="1"/>
  <c r="K47" i="1"/>
  <c r="S47" i="1"/>
  <c r="D47" i="1"/>
  <c r="D48" i="1"/>
  <c r="D49" i="1"/>
  <c r="L47" i="1"/>
  <c r="T47" i="1"/>
  <c r="E47" i="1"/>
  <c r="E48" i="1"/>
  <c r="E49" i="1"/>
  <c r="M47" i="1"/>
  <c r="U47" i="1"/>
  <c r="F47" i="1"/>
  <c r="F48" i="1"/>
  <c r="F49" i="1"/>
  <c r="N47" i="1"/>
  <c r="V47" i="1"/>
  <c r="G47" i="1"/>
  <c r="G48" i="1"/>
  <c r="G49" i="1"/>
  <c r="O47" i="1"/>
  <c r="W47" i="1"/>
  <c r="B50" i="1"/>
  <c r="B51" i="1"/>
  <c r="B52" i="1"/>
  <c r="J50" i="1"/>
  <c r="R50" i="1"/>
  <c r="C50" i="1"/>
  <c r="C51" i="1"/>
  <c r="C52" i="1"/>
  <c r="K50" i="1"/>
  <c r="S50" i="1"/>
  <c r="D50" i="1"/>
  <c r="D51" i="1"/>
  <c r="D52" i="1"/>
  <c r="L50" i="1"/>
  <c r="T50" i="1"/>
  <c r="E50" i="1"/>
  <c r="E51" i="1"/>
  <c r="E52" i="1"/>
  <c r="M50" i="1"/>
  <c r="U50" i="1"/>
  <c r="F50" i="1"/>
  <c r="F51" i="1"/>
  <c r="F52" i="1"/>
  <c r="N50" i="1"/>
  <c r="V50" i="1"/>
  <c r="G50" i="1"/>
  <c r="G51" i="1"/>
  <c r="G52" i="1"/>
  <c r="O50" i="1"/>
  <c r="W50" i="1"/>
  <c r="B53" i="1"/>
  <c r="B54" i="1"/>
  <c r="B55" i="1"/>
  <c r="J53" i="1"/>
  <c r="R53" i="1"/>
  <c r="C53" i="1"/>
  <c r="C54" i="1"/>
  <c r="C55" i="1"/>
  <c r="K53" i="1"/>
  <c r="S53" i="1"/>
  <c r="D53" i="1"/>
  <c r="D54" i="1"/>
  <c r="D55" i="1"/>
  <c r="L53" i="1"/>
  <c r="T53" i="1"/>
  <c r="E53" i="1"/>
  <c r="E54" i="1"/>
  <c r="E55" i="1"/>
  <c r="M53" i="1"/>
  <c r="U53" i="1"/>
  <c r="F53" i="1"/>
  <c r="F54" i="1"/>
  <c r="F55" i="1"/>
  <c r="N53" i="1"/>
  <c r="V53" i="1"/>
  <c r="G53" i="1"/>
  <c r="G54" i="1"/>
  <c r="G55" i="1"/>
  <c r="O53" i="1"/>
  <c r="W53" i="1"/>
  <c r="B56" i="1"/>
  <c r="B57" i="1"/>
  <c r="B58" i="1"/>
  <c r="J56" i="1"/>
  <c r="R56" i="1"/>
  <c r="C56" i="1"/>
  <c r="C57" i="1"/>
  <c r="C58" i="1"/>
  <c r="K56" i="1"/>
  <c r="S56" i="1"/>
  <c r="D56" i="1"/>
  <c r="D57" i="1"/>
  <c r="D58" i="1"/>
  <c r="L56" i="1"/>
  <c r="T56" i="1"/>
  <c r="E56" i="1"/>
  <c r="E57" i="1"/>
  <c r="E58" i="1"/>
  <c r="M56" i="1"/>
  <c r="U56" i="1"/>
  <c r="F56" i="1"/>
  <c r="F57" i="1"/>
  <c r="F58" i="1"/>
  <c r="N56" i="1"/>
  <c r="V56" i="1"/>
  <c r="G56" i="1"/>
  <c r="G57" i="1"/>
  <c r="G58" i="1"/>
  <c r="O56" i="1"/>
  <c r="W56" i="1"/>
  <c r="B59" i="1"/>
  <c r="B60" i="1"/>
  <c r="B61" i="1"/>
  <c r="J59" i="1"/>
  <c r="R59" i="1"/>
  <c r="C59" i="1"/>
  <c r="C60" i="1"/>
  <c r="C61" i="1"/>
  <c r="K59" i="1"/>
  <c r="S59" i="1"/>
  <c r="D59" i="1"/>
  <c r="D60" i="1"/>
  <c r="D61" i="1"/>
  <c r="L59" i="1"/>
  <c r="T59" i="1"/>
  <c r="E59" i="1"/>
  <c r="E60" i="1"/>
  <c r="E61" i="1"/>
  <c r="M59" i="1"/>
  <c r="U59" i="1"/>
  <c r="F59" i="1"/>
  <c r="F60" i="1"/>
  <c r="F61" i="1"/>
  <c r="N59" i="1"/>
  <c r="V59" i="1"/>
  <c r="G59" i="1"/>
  <c r="G60" i="1"/>
  <c r="G61" i="1"/>
  <c r="O59" i="1"/>
  <c r="W59" i="1"/>
  <c r="C38" i="1"/>
  <c r="C39" i="1"/>
  <c r="C40" i="1"/>
  <c r="K38" i="1"/>
  <c r="S38" i="1"/>
  <c r="D38" i="1"/>
  <c r="D39" i="1"/>
  <c r="D40" i="1"/>
  <c r="L38" i="1"/>
  <c r="T38" i="1"/>
  <c r="E38" i="1"/>
  <c r="E39" i="1"/>
  <c r="E40" i="1"/>
  <c r="M38" i="1"/>
  <c r="U38" i="1"/>
  <c r="F38" i="1"/>
  <c r="F39" i="1"/>
  <c r="F40" i="1"/>
  <c r="N38" i="1"/>
  <c r="V38" i="1"/>
  <c r="G38" i="1"/>
  <c r="G39" i="1"/>
  <c r="G40" i="1"/>
  <c r="O38" i="1"/>
  <c r="W38" i="1"/>
  <c r="B38" i="1"/>
  <c r="B39" i="1"/>
  <c r="B40" i="1"/>
  <c r="J38" i="1"/>
  <c r="R38" i="1"/>
  <c r="B8" i="1"/>
  <c r="B9" i="1"/>
  <c r="B10" i="1"/>
  <c r="R8" i="1"/>
  <c r="C8" i="1"/>
  <c r="C9" i="1"/>
  <c r="C10" i="1"/>
  <c r="S8" i="1"/>
  <c r="D8" i="1"/>
  <c r="D9" i="1"/>
  <c r="D10" i="1"/>
  <c r="T8" i="1"/>
  <c r="E8" i="1"/>
  <c r="E9" i="1"/>
  <c r="E10" i="1"/>
  <c r="U8" i="1"/>
  <c r="F8" i="1"/>
  <c r="F9" i="1"/>
  <c r="F10" i="1"/>
  <c r="V8" i="1"/>
  <c r="G8" i="1"/>
  <c r="G9" i="1"/>
  <c r="G10" i="1"/>
  <c r="W8" i="1"/>
  <c r="B11" i="1"/>
  <c r="B12" i="1"/>
  <c r="B13" i="1"/>
  <c r="R11" i="1"/>
  <c r="C11" i="1"/>
  <c r="C12" i="1"/>
  <c r="C13" i="1"/>
  <c r="S11" i="1"/>
  <c r="D11" i="1"/>
  <c r="D12" i="1"/>
  <c r="D13" i="1"/>
  <c r="T11" i="1"/>
  <c r="E11" i="1"/>
  <c r="E12" i="1"/>
  <c r="E13" i="1"/>
  <c r="U11" i="1"/>
  <c r="F11" i="1"/>
  <c r="F12" i="1"/>
  <c r="F13" i="1"/>
  <c r="V11" i="1"/>
  <c r="G11" i="1"/>
  <c r="G12" i="1"/>
  <c r="G13" i="1"/>
  <c r="W11" i="1"/>
  <c r="B14" i="1"/>
  <c r="B15" i="1"/>
  <c r="B16" i="1"/>
  <c r="R14" i="1"/>
  <c r="C14" i="1"/>
  <c r="C15" i="1"/>
  <c r="C16" i="1"/>
  <c r="S14" i="1"/>
  <c r="D14" i="1"/>
  <c r="D15" i="1"/>
  <c r="D16" i="1"/>
  <c r="T14" i="1"/>
  <c r="E14" i="1"/>
  <c r="E15" i="1"/>
  <c r="E16" i="1"/>
  <c r="U14" i="1"/>
  <c r="F14" i="1"/>
  <c r="F15" i="1"/>
  <c r="F16" i="1"/>
  <c r="V14" i="1"/>
  <c r="G14" i="1"/>
  <c r="G15" i="1"/>
  <c r="G16" i="1"/>
  <c r="W14" i="1"/>
  <c r="B17" i="1"/>
  <c r="B18" i="1"/>
  <c r="B19" i="1"/>
  <c r="R17" i="1"/>
  <c r="C17" i="1"/>
  <c r="C18" i="1"/>
  <c r="C19" i="1"/>
  <c r="S17" i="1"/>
  <c r="D17" i="1"/>
  <c r="D18" i="1"/>
  <c r="D19" i="1"/>
  <c r="T17" i="1"/>
  <c r="E17" i="1"/>
  <c r="E18" i="1"/>
  <c r="E19" i="1"/>
  <c r="U17" i="1"/>
  <c r="F17" i="1"/>
  <c r="F18" i="1"/>
  <c r="F19" i="1"/>
  <c r="V17" i="1"/>
  <c r="G17" i="1"/>
  <c r="G18" i="1"/>
  <c r="G19" i="1"/>
  <c r="W17" i="1"/>
  <c r="B20" i="1"/>
  <c r="B21" i="1"/>
  <c r="B22" i="1"/>
  <c r="R20" i="1"/>
  <c r="C20" i="1"/>
  <c r="C21" i="1"/>
  <c r="C22" i="1"/>
  <c r="S20" i="1"/>
  <c r="D20" i="1"/>
  <c r="D21" i="1"/>
  <c r="D22" i="1"/>
  <c r="T20" i="1"/>
  <c r="E20" i="1"/>
  <c r="E21" i="1"/>
  <c r="E22" i="1"/>
  <c r="U20" i="1"/>
  <c r="F20" i="1"/>
  <c r="F21" i="1"/>
  <c r="F22" i="1"/>
  <c r="V20" i="1"/>
  <c r="G20" i="1"/>
  <c r="G21" i="1"/>
  <c r="G22" i="1"/>
  <c r="W20" i="1"/>
  <c r="B24" i="1"/>
  <c r="B25" i="1"/>
  <c r="R23" i="1"/>
  <c r="C23" i="1"/>
  <c r="C24" i="1"/>
  <c r="C25" i="1"/>
  <c r="S23" i="1"/>
  <c r="D23" i="1"/>
  <c r="D24" i="1"/>
  <c r="D25" i="1"/>
  <c r="T23" i="1"/>
  <c r="E23" i="1"/>
  <c r="E24" i="1"/>
  <c r="E25" i="1"/>
  <c r="U23" i="1"/>
  <c r="F23" i="1"/>
  <c r="F24" i="1"/>
  <c r="F25" i="1"/>
  <c r="V23" i="1"/>
  <c r="G23" i="1"/>
  <c r="G24" i="1"/>
  <c r="G25" i="1"/>
  <c r="W23" i="1"/>
  <c r="B26" i="1"/>
  <c r="B27" i="1"/>
  <c r="B28" i="1"/>
  <c r="R26" i="1"/>
  <c r="C26" i="1"/>
  <c r="C27" i="1"/>
  <c r="C28" i="1"/>
  <c r="S26" i="1"/>
  <c r="D26" i="1"/>
  <c r="D27" i="1"/>
  <c r="D28" i="1"/>
  <c r="T26" i="1"/>
  <c r="E26" i="1"/>
  <c r="E27" i="1"/>
  <c r="E28" i="1"/>
  <c r="U26" i="1"/>
  <c r="F26" i="1"/>
  <c r="F27" i="1"/>
  <c r="F28" i="1"/>
  <c r="V26" i="1"/>
  <c r="G26" i="1"/>
  <c r="G27" i="1"/>
  <c r="G28" i="1"/>
  <c r="W26" i="1"/>
  <c r="B29" i="1"/>
  <c r="B30" i="1"/>
  <c r="B31" i="1"/>
  <c r="R29" i="1"/>
  <c r="C29" i="1"/>
  <c r="C30" i="1"/>
  <c r="C31" i="1"/>
  <c r="S29" i="1"/>
  <c r="D29" i="1"/>
  <c r="D30" i="1"/>
  <c r="D31" i="1"/>
  <c r="T29" i="1"/>
  <c r="E29" i="1"/>
  <c r="E30" i="1"/>
  <c r="E31" i="1"/>
  <c r="U29" i="1"/>
  <c r="F29" i="1"/>
  <c r="F30" i="1"/>
  <c r="F31" i="1"/>
  <c r="V29" i="1"/>
  <c r="G29" i="1"/>
  <c r="G30" i="1"/>
  <c r="G31" i="1"/>
  <c r="W29" i="1"/>
  <c r="C5" i="1"/>
  <c r="C6" i="1"/>
  <c r="C7" i="1"/>
  <c r="S5" i="1"/>
  <c r="D5" i="1"/>
  <c r="D6" i="1"/>
  <c r="D7" i="1"/>
  <c r="T5" i="1"/>
  <c r="E5" i="1"/>
  <c r="E6" i="1"/>
  <c r="E7" i="1"/>
  <c r="U5" i="1"/>
  <c r="F5" i="1"/>
  <c r="F6" i="1"/>
  <c r="F7" i="1"/>
  <c r="V5" i="1"/>
  <c r="G5" i="1"/>
  <c r="G6" i="1"/>
  <c r="G7" i="1"/>
  <c r="W5" i="1"/>
  <c r="B5" i="1"/>
  <c r="B6" i="1"/>
  <c r="B7" i="1"/>
  <c r="R5" i="1"/>
</calcChain>
</file>

<file path=xl/sharedStrings.xml><?xml version="1.0" encoding="utf-8"?>
<sst xmlns="http://schemas.openxmlformats.org/spreadsheetml/2006/main" count="63" uniqueCount="29">
  <si>
    <t>Size</t>
  </si>
  <si>
    <t>Blocking</t>
  </si>
  <si>
    <t>Destination</t>
  </si>
  <si>
    <t>Method</t>
  </si>
  <si>
    <t>Non-Blocking</t>
  </si>
  <si>
    <t>Pair/Msg Size</t>
  </si>
  <si>
    <t>Blocking - Avg Time</t>
  </si>
  <si>
    <t>Non-Blocking - Avg Time</t>
  </si>
  <si>
    <t>Blocking - Bandwidth (MB/s)</t>
  </si>
  <si>
    <t>Non-Blocking - Bandwidth (MB/s)</t>
  </si>
  <si>
    <t>SIZE (MB)</t>
  </si>
  <si>
    <t>Max</t>
  </si>
  <si>
    <t>Min</t>
  </si>
  <si>
    <t>Avg</t>
  </si>
  <si>
    <t>Nodes</t>
  </si>
  <si>
    <t>Broadcast</t>
  </si>
  <si>
    <t>Reduce</t>
  </si>
  <si>
    <t>Function</t>
  </si>
  <si>
    <t>Broadcast Avg. Time (s)</t>
  </si>
  <si>
    <t>Reduce Avg. Time (s)</t>
  </si>
  <si>
    <t>1B</t>
  </si>
  <si>
    <t>10B</t>
  </si>
  <si>
    <t>100B</t>
  </si>
  <si>
    <t>1KB</t>
  </si>
  <si>
    <t>10KB</t>
  </si>
  <si>
    <t>100KB</t>
  </si>
  <si>
    <t>1MB</t>
  </si>
  <si>
    <t>10MB</t>
  </si>
  <si>
    <t>100MB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</si>
</sst>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"/>
    <numFmt numFmtId="167" formatCode="0.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vertical="center"/>
    </xf>
    <xf numFmtId="164" fontId="4" fillId="0" borderId="2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4" fontId="4" fillId="0" borderId="1" xfId="0" applyNumberFormat="1" applyFont="1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/>
    <xf numFmtId="167" fontId="4" fillId="0" borderId="1" xfId="0" applyNumberFormat="1" applyFont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Blocking - Send &amp;</a:t>
            </a:r>
            <a:r>
              <a:rPr lang="en-US" baseline="0"/>
              <a:t> Receive</a:t>
            </a:r>
            <a:r>
              <a:rPr lang="en-US"/>
              <a:t> Time</a:t>
            </a:r>
            <a:r>
              <a:rPr lang="en-US" baseline="0"/>
              <a:t> (s)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'Ping-pong'!$AA$4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'Ping-pong'!$Z$5:$Z$13</c:f>
              <c:strCache>
                <c:ptCount val="9"/>
                <c:pt idx="0">
                  <c:v>1B</c:v>
                </c:pt>
                <c:pt idx="1">
                  <c:v>10B</c:v>
                </c:pt>
                <c:pt idx="2">
                  <c:v>100B</c:v>
                </c:pt>
                <c:pt idx="3">
                  <c:v>1KB</c:v>
                </c:pt>
                <c:pt idx="4">
                  <c:v>10KB</c:v>
                </c:pt>
                <c:pt idx="5">
                  <c:v>100KB</c:v>
                </c:pt>
                <c:pt idx="6">
                  <c:v>1MB</c:v>
                </c:pt>
                <c:pt idx="7">
                  <c:v>10MB</c:v>
                </c:pt>
                <c:pt idx="8">
                  <c:v>100MB</c:v>
                </c:pt>
              </c:strCache>
            </c:strRef>
          </c:cat>
          <c:val>
            <c:numRef>
              <c:f>'Ping-pong'!$AA$5:$AA$13</c:f>
              <c:numCache>
                <c:formatCode>General</c:formatCode>
                <c:ptCount val="9"/>
                <c:pt idx="0">
                  <c:v>0.00129333333333333</c:v>
                </c:pt>
                <c:pt idx="1">
                  <c:v>0.0161706666666667</c:v>
                </c:pt>
                <c:pt idx="2">
                  <c:v>0.0554043333333333</c:v>
                </c:pt>
                <c:pt idx="3">
                  <c:v>0.0447126666666667</c:v>
                </c:pt>
                <c:pt idx="4">
                  <c:v>0.000428333333333333</c:v>
                </c:pt>
                <c:pt idx="5">
                  <c:v>0.016063</c:v>
                </c:pt>
                <c:pt idx="6">
                  <c:v>0.00127866666666667</c:v>
                </c:pt>
                <c:pt idx="7">
                  <c:v>0.167721</c:v>
                </c:pt>
                <c:pt idx="8">
                  <c:v>2.027776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'Ping-pong'!$AB$4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'Ping-pong'!$Z$5:$Z$13</c:f>
              <c:strCache>
                <c:ptCount val="9"/>
                <c:pt idx="0">
                  <c:v>1B</c:v>
                </c:pt>
                <c:pt idx="1">
                  <c:v>10B</c:v>
                </c:pt>
                <c:pt idx="2">
                  <c:v>100B</c:v>
                </c:pt>
                <c:pt idx="3">
                  <c:v>1KB</c:v>
                </c:pt>
                <c:pt idx="4">
                  <c:v>10KB</c:v>
                </c:pt>
                <c:pt idx="5">
                  <c:v>100KB</c:v>
                </c:pt>
                <c:pt idx="6">
                  <c:v>1MB</c:v>
                </c:pt>
                <c:pt idx="7">
                  <c:v>10MB</c:v>
                </c:pt>
                <c:pt idx="8">
                  <c:v>100MB</c:v>
                </c:pt>
              </c:strCache>
            </c:strRef>
          </c:cat>
          <c:val>
            <c:numRef>
              <c:f>'Ping-pong'!$AB$5:$AB$13</c:f>
              <c:numCache>
                <c:formatCode>General</c:formatCode>
                <c:ptCount val="9"/>
                <c:pt idx="0">
                  <c:v>0.000297</c:v>
                </c:pt>
                <c:pt idx="1">
                  <c:v>0.000252</c:v>
                </c:pt>
                <c:pt idx="2">
                  <c:v>0.000162</c:v>
                </c:pt>
                <c:pt idx="3">
                  <c:v>0.000155666666666667</c:v>
                </c:pt>
                <c:pt idx="4">
                  <c:v>0.000138</c:v>
                </c:pt>
                <c:pt idx="5">
                  <c:v>0.00136566666666667</c:v>
                </c:pt>
                <c:pt idx="6">
                  <c:v>0.001146</c:v>
                </c:pt>
                <c:pt idx="7">
                  <c:v>0.0684463333333333</c:v>
                </c:pt>
                <c:pt idx="8">
                  <c:v>1.902997666666667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'Ping-pong'!$AC$4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'Ping-pong'!$Z$5:$Z$13</c:f>
              <c:strCache>
                <c:ptCount val="9"/>
                <c:pt idx="0">
                  <c:v>1B</c:v>
                </c:pt>
                <c:pt idx="1">
                  <c:v>10B</c:v>
                </c:pt>
                <c:pt idx="2">
                  <c:v>100B</c:v>
                </c:pt>
                <c:pt idx="3">
                  <c:v>1KB</c:v>
                </c:pt>
                <c:pt idx="4">
                  <c:v>10KB</c:v>
                </c:pt>
                <c:pt idx="5">
                  <c:v>100KB</c:v>
                </c:pt>
                <c:pt idx="6">
                  <c:v>1MB</c:v>
                </c:pt>
                <c:pt idx="7">
                  <c:v>10MB</c:v>
                </c:pt>
                <c:pt idx="8">
                  <c:v>100MB</c:v>
                </c:pt>
              </c:strCache>
            </c:strRef>
          </c:cat>
          <c:val>
            <c:numRef>
              <c:f>'Ping-pong'!$AC$5:$AC$13</c:f>
              <c:numCache>
                <c:formatCode>General</c:formatCode>
                <c:ptCount val="9"/>
                <c:pt idx="0">
                  <c:v>0.001339</c:v>
                </c:pt>
                <c:pt idx="1">
                  <c:v>9.86666666666667E-5</c:v>
                </c:pt>
                <c:pt idx="2">
                  <c:v>0.002727</c:v>
                </c:pt>
                <c:pt idx="3">
                  <c:v>0.002543</c:v>
                </c:pt>
                <c:pt idx="4">
                  <c:v>0.027115</c:v>
                </c:pt>
                <c:pt idx="5">
                  <c:v>0.000203333333333333</c:v>
                </c:pt>
                <c:pt idx="6">
                  <c:v>0.00115233333333333</c:v>
                </c:pt>
                <c:pt idx="7">
                  <c:v>0.131536</c:v>
                </c:pt>
                <c:pt idx="8">
                  <c:v>1.864977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'Ping-pong'!$AD$4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'Ping-pong'!$Z$5:$Z$13</c:f>
              <c:strCache>
                <c:ptCount val="9"/>
                <c:pt idx="0">
                  <c:v>1B</c:v>
                </c:pt>
                <c:pt idx="1">
                  <c:v>10B</c:v>
                </c:pt>
                <c:pt idx="2">
                  <c:v>100B</c:v>
                </c:pt>
                <c:pt idx="3">
                  <c:v>1KB</c:v>
                </c:pt>
                <c:pt idx="4">
                  <c:v>10KB</c:v>
                </c:pt>
                <c:pt idx="5">
                  <c:v>100KB</c:v>
                </c:pt>
                <c:pt idx="6">
                  <c:v>1MB</c:v>
                </c:pt>
                <c:pt idx="7">
                  <c:v>10MB</c:v>
                </c:pt>
                <c:pt idx="8">
                  <c:v>100MB</c:v>
                </c:pt>
              </c:strCache>
            </c:strRef>
          </c:cat>
          <c:val>
            <c:numRef>
              <c:f>'Ping-pong'!$AD$5:$AD$13</c:f>
              <c:numCache>
                <c:formatCode>General</c:formatCode>
                <c:ptCount val="9"/>
                <c:pt idx="0">
                  <c:v>0.001027</c:v>
                </c:pt>
                <c:pt idx="1">
                  <c:v>0.00216233333333333</c:v>
                </c:pt>
                <c:pt idx="2">
                  <c:v>0.0332623333333333</c:v>
                </c:pt>
                <c:pt idx="3">
                  <c:v>5.63333333333333E-5</c:v>
                </c:pt>
                <c:pt idx="4">
                  <c:v>0.000163</c:v>
                </c:pt>
                <c:pt idx="5">
                  <c:v>0.00105633333333333</c:v>
                </c:pt>
                <c:pt idx="6">
                  <c:v>0.015186</c:v>
                </c:pt>
                <c:pt idx="7">
                  <c:v>0.133481666666667</c:v>
                </c:pt>
                <c:pt idx="8">
                  <c:v>2.299622666666667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'Ping-pong'!$AE$4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'Ping-pong'!$Z$5:$Z$13</c:f>
              <c:strCache>
                <c:ptCount val="9"/>
                <c:pt idx="0">
                  <c:v>1B</c:v>
                </c:pt>
                <c:pt idx="1">
                  <c:v>10B</c:v>
                </c:pt>
                <c:pt idx="2">
                  <c:v>100B</c:v>
                </c:pt>
                <c:pt idx="3">
                  <c:v>1KB</c:v>
                </c:pt>
                <c:pt idx="4">
                  <c:v>10KB</c:v>
                </c:pt>
                <c:pt idx="5">
                  <c:v>100KB</c:v>
                </c:pt>
                <c:pt idx="6">
                  <c:v>1MB</c:v>
                </c:pt>
                <c:pt idx="7">
                  <c:v>10MB</c:v>
                </c:pt>
                <c:pt idx="8">
                  <c:v>100MB</c:v>
                </c:pt>
              </c:strCache>
            </c:strRef>
          </c:cat>
          <c:val>
            <c:numRef>
              <c:f>'Ping-pong'!$AE$5:$AE$13</c:f>
              <c:numCache>
                <c:formatCode>General</c:formatCode>
                <c:ptCount val="9"/>
                <c:pt idx="0">
                  <c:v>0.000161666666666667</c:v>
                </c:pt>
                <c:pt idx="1">
                  <c:v>0.000101666666666667</c:v>
                </c:pt>
                <c:pt idx="2">
                  <c:v>0.00976333333333333</c:v>
                </c:pt>
                <c:pt idx="3">
                  <c:v>5.1E-5</c:v>
                </c:pt>
                <c:pt idx="4">
                  <c:v>0.000147333333333333</c:v>
                </c:pt>
                <c:pt idx="5">
                  <c:v>0.00128366666666667</c:v>
                </c:pt>
                <c:pt idx="6">
                  <c:v>0.00118033333333333</c:v>
                </c:pt>
                <c:pt idx="7">
                  <c:v>0.100852666666667</c:v>
                </c:pt>
                <c:pt idx="8">
                  <c:v>1.702564333333333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'Ping-pong'!$AF$4</c:f>
              <c:strCache>
                <c:ptCount val="1"/>
                <c:pt idx="0">
                  <c:v>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'Ping-pong'!$Z$5:$Z$13</c:f>
              <c:strCache>
                <c:ptCount val="9"/>
                <c:pt idx="0">
                  <c:v>1B</c:v>
                </c:pt>
                <c:pt idx="1">
                  <c:v>10B</c:v>
                </c:pt>
                <c:pt idx="2">
                  <c:v>100B</c:v>
                </c:pt>
                <c:pt idx="3">
                  <c:v>1KB</c:v>
                </c:pt>
                <c:pt idx="4">
                  <c:v>10KB</c:v>
                </c:pt>
                <c:pt idx="5">
                  <c:v>100KB</c:v>
                </c:pt>
                <c:pt idx="6">
                  <c:v>1MB</c:v>
                </c:pt>
                <c:pt idx="7">
                  <c:v>10MB</c:v>
                </c:pt>
                <c:pt idx="8">
                  <c:v>100MB</c:v>
                </c:pt>
              </c:strCache>
            </c:strRef>
          </c:cat>
          <c:val>
            <c:numRef>
              <c:f>'Ping-pong'!$AF$5:$AF$13</c:f>
              <c:numCache>
                <c:formatCode>General</c:formatCode>
                <c:ptCount val="9"/>
                <c:pt idx="0">
                  <c:v>0.000139333333333333</c:v>
                </c:pt>
                <c:pt idx="1">
                  <c:v>0.000109</c:v>
                </c:pt>
                <c:pt idx="2">
                  <c:v>9.46666666666666E-5</c:v>
                </c:pt>
                <c:pt idx="3">
                  <c:v>6.23333333333333E-5</c:v>
                </c:pt>
                <c:pt idx="4">
                  <c:v>0.000165</c:v>
                </c:pt>
                <c:pt idx="5">
                  <c:v>0.000201</c:v>
                </c:pt>
                <c:pt idx="6">
                  <c:v>0.00132766666666667</c:v>
                </c:pt>
                <c:pt idx="7">
                  <c:v>0.133334</c:v>
                </c:pt>
                <c:pt idx="8">
                  <c:v>2.199601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1304912"/>
        <c:axId val="-763933024"/>
      </c:lineChart>
      <c:catAx>
        <c:axId val="-74130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3933024"/>
        <c:crosses val="autoZero"/>
        <c:auto val="1"/>
        <c:lblAlgn val="ctr"/>
        <c:lblOffset val="100"/>
        <c:noMultiLvlLbl val="0"/>
      </c:catAx>
      <c:valAx>
        <c:axId val="-7639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130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Non-Blocking</a:t>
            </a:r>
            <a:r>
              <a:rPr lang="en-US" baseline="0"/>
              <a:t> - Send &amp; Recieve Time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'Ping-pong'!$AA$37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'Ping-pong'!$Z$38:$Z$46</c:f>
              <c:strCache>
                <c:ptCount val="9"/>
                <c:pt idx="0">
                  <c:v>1B</c:v>
                </c:pt>
                <c:pt idx="1">
                  <c:v>10B</c:v>
                </c:pt>
                <c:pt idx="2">
                  <c:v>100B</c:v>
                </c:pt>
                <c:pt idx="3">
                  <c:v>1KB</c:v>
                </c:pt>
                <c:pt idx="4">
                  <c:v>10KB</c:v>
                </c:pt>
                <c:pt idx="5">
                  <c:v>100KB</c:v>
                </c:pt>
                <c:pt idx="6">
                  <c:v>1MB</c:v>
                </c:pt>
                <c:pt idx="7">
                  <c:v>10MB</c:v>
                </c:pt>
                <c:pt idx="8">
                  <c:v>100MB</c:v>
                </c:pt>
              </c:strCache>
            </c:strRef>
          </c:cat>
          <c:val>
            <c:numRef>
              <c:f>'Ping-pong'!$AA$38:$AA$46</c:f>
              <c:numCache>
                <c:formatCode>General</c:formatCode>
                <c:ptCount val="9"/>
                <c:pt idx="0">
                  <c:v>3.9E-5</c:v>
                </c:pt>
                <c:pt idx="1">
                  <c:v>3.33333333333333E-5</c:v>
                </c:pt>
                <c:pt idx="2">
                  <c:v>2.86666666666667E-5</c:v>
                </c:pt>
                <c:pt idx="3">
                  <c:v>2.36666666666667E-5</c:v>
                </c:pt>
                <c:pt idx="4">
                  <c:v>9.06666666666667E-5</c:v>
                </c:pt>
                <c:pt idx="5">
                  <c:v>0.000102666666666667</c:v>
                </c:pt>
                <c:pt idx="6">
                  <c:v>0.000902</c:v>
                </c:pt>
                <c:pt idx="7">
                  <c:v>0.0691286666666667</c:v>
                </c:pt>
                <c:pt idx="8">
                  <c:v>1.030498333333333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'Ping-pong'!$AB$37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'Ping-pong'!$Z$38:$Z$46</c:f>
              <c:strCache>
                <c:ptCount val="9"/>
                <c:pt idx="0">
                  <c:v>1B</c:v>
                </c:pt>
                <c:pt idx="1">
                  <c:v>10B</c:v>
                </c:pt>
                <c:pt idx="2">
                  <c:v>100B</c:v>
                </c:pt>
                <c:pt idx="3">
                  <c:v>1KB</c:v>
                </c:pt>
                <c:pt idx="4">
                  <c:v>10KB</c:v>
                </c:pt>
                <c:pt idx="5">
                  <c:v>100KB</c:v>
                </c:pt>
                <c:pt idx="6">
                  <c:v>1MB</c:v>
                </c:pt>
                <c:pt idx="7">
                  <c:v>10MB</c:v>
                </c:pt>
                <c:pt idx="8">
                  <c:v>100MB</c:v>
                </c:pt>
              </c:strCache>
            </c:strRef>
          </c:cat>
          <c:val>
            <c:numRef>
              <c:f>'Ping-pong'!$AB$38:$AB$46</c:f>
              <c:numCache>
                <c:formatCode>General</c:formatCode>
                <c:ptCount val="9"/>
                <c:pt idx="0">
                  <c:v>5.66666666666667E-6</c:v>
                </c:pt>
                <c:pt idx="1">
                  <c:v>4.33333333333333E-6</c:v>
                </c:pt>
                <c:pt idx="2">
                  <c:v>4E-6</c:v>
                </c:pt>
                <c:pt idx="3">
                  <c:v>6.33333333333333E-6</c:v>
                </c:pt>
                <c:pt idx="4">
                  <c:v>6.33333333333333E-5</c:v>
                </c:pt>
                <c:pt idx="5">
                  <c:v>7.36666666666667E-5</c:v>
                </c:pt>
                <c:pt idx="6">
                  <c:v>0.000855333333333333</c:v>
                </c:pt>
                <c:pt idx="7">
                  <c:v>0.000394666666666667</c:v>
                </c:pt>
                <c:pt idx="8">
                  <c:v>0.000556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'Ping-pong'!$AC$37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'Ping-pong'!$Z$38:$Z$46</c:f>
              <c:strCache>
                <c:ptCount val="9"/>
                <c:pt idx="0">
                  <c:v>1B</c:v>
                </c:pt>
                <c:pt idx="1">
                  <c:v>10B</c:v>
                </c:pt>
                <c:pt idx="2">
                  <c:v>100B</c:v>
                </c:pt>
                <c:pt idx="3">
                  <c:v>1KB</c:v>
                </c:pt>
                <c:pt idx="4">
                  <c:v>10KB</c:v>
                </c:pt>
                <c:pt idx="5">
                  <c:v>100KB</c:v>
                </c:pt>
                <c:pt idx="6">
                  <c:v>1MB</c:v>
                </c:pt>
                <c:pt idx="7">
                  <c:v>10MB</c:v>
                </c:pt>
                <c:pt idx="8">
                  <c:v>100MB</c:v>
                </c:pt>
              </c:strCache>
            </c:strRef>
          </c:cat>
          <c:val>
            <c:numRef>
              <c:f>'Ping-pong'!$AC$38:$AC$46</c:f>
              <c:numCache>
                <c:formatCode>General</c:formatCode>
                <c:ptCount val="9"/>
                <c:pt idx="0">
                  <c:v>6.66666666666666E-6</c:v>
                </c:pt>
                <c:pt idx="1">
                  <c:v>6.33333333333333E-6</c:v>
                </c:pt>
                <c:pt idx="2">
                  <c:v>2.66666666666667E-6</c:v>
                </c:pt>
                <c:pt idx="3">
                  <c:v>5.66666666666667E-6</c:v>
                </c:pt>
                <c:pt idx="4">
                  <c:v>6.1E-5</c:v>
                </c:pt>
                <c:pt idx="5">
                  <c:v>7.33333333333333E-5</c:v>
                </c:pt>
                <c:pt idx="6">
                  <c:v>0.000642666666666667</c:v>
                </c:pt>
                <c:pt idx="7">
                  <c:v>0.000617</c:v>
                </c:pt>
                <c:pt idx="8">
                  <c:v>0.00111933333333333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'Ping-pong'!$AD$37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'Ping-pong'!$Z$38:$Z$46</c:f>
              <c:strCache>
                <c:ptCount val="9"/>
                <c:pt idx="0">
                  <c:v>1B</c:v>
                </c:pt>
                <c:pt idx="1">
                  <c:v>10B</c:v>
                </c:pt>
                <c:pt idx="2">
                  <c:v>100B</c:v>
                </c:pt>
                <c:pt idx="3">
                  <c:v>1KB</c:v>
                </c:pt>
                <c:pt idx="4">
                  <c:v>10KB</c:v>
                </c:pt>
                <c:pt idx="5">
                  <c:v>100KB</c:v>
                </c:pt>
                <c:pt idx="6">
                  <c:v>1MB</c:v>
                </c:pt>
                <c:pt idx="7">
                  <c:v>10MB</c:v>
                </c:pt>
                <c:pt idx="8">
                  <c:v>100MB</c:v>
                </c:pt>
              </c:strCache>
            </c:strRef>
          </c:cat>
          <c:val>
            <c:numRef>
              <c:f>'Ping-pong'!$AD$38:$AD$46</c:f>
              <c:numCache>
                <c:formatCode>General</c:formatCode>
                <c:ptCount val="9"/>
                <c:pt idx="0">
                  <c:v>5.33333333333333E-6</c:v>
                </c:pt>
                <c:pt idx="1">
                  <c:v>5E-6</c:v>
                </c:pt>
                <c:pt idx="2">
                  <c:v>4.66666666666667E-6</c:v>
                </c:pt>
                <c:pt idx="3">
                  <c:v>6.33333333333333E-6</c:v>
                </c:pt>
                <c:pt idx="4">
                  <c:v>6.3E-5</c:v>
                </c:pt>
                <c:pt idx="5">
                  <c:v>7.66666666666667E-5</c:v>
                </c:pt>
                <c:pt idx="6">
                  <c:v>0.000685666666666666</c:v>
                </c:pt>
                <c:pt idx="7">
                  <c:v>0.000684666666666666</c:v>
                </c:pt>
                <c:pt idx="8">
                  <c:v>0.0299723333333333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'Ping-pong'!$AE$37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'Ping-pong'!$Z$38:$Z$46</c:f>
              <c:strCache>
                <c:ptCount val="9"/>
                <c:pt idx="0">
                  <c:v>1B</c:v>
                </c:pt>
                <c:pt idx="1">
                  <c:v>10B</c:v>
                </c:pt>
                <c:pt idx="2">
                  <c:v>100B</c:v>
                </c:pt>
                <c:pt idx="3">
                  <c:v>1KB</c:v>
                </c:pt>
                <c:pt idx="4">
                  <c:v>10KB</c:v>
                </c:pt>
                <c:pt idx="5">
                  <c:v>100KB</c:v>
                </c:pt>
                <c:pt idx="6">
                  <c:v>1MB</c:v>
                </c:pt>
                <c:pt idx="7">
                  <c:v>10MB</c:v>
                </c:pt>
                <c:pt idx="8">
                  <c:v>100MB</c:v>
                </c:pt>
              </c:strCache>
            </c:strRef>
          </c:cat>
          <c:val>
            <c:numRef>
              <c:f>'Ping-pong'!$AE$38:$AE$46</c:f>
              <c:numCache>
                <c:formatCode>General</c:formatCode>
                <c:ptCount val="9"/>
                <c:pt idx="0">
                  <c:v>5.33333333333333E-6</c:v>
                </c:pt>
                <c:pt idx="1">
                  <c:v>5.66666666666667E-6</c:v>
                </c:pt>
                <c:pt idx="2">
                  <c:v>5.0E-6</c:v>
                </c:pt>
                <c:pt idx="3">
                  <c:v>8.33333333333333E-6</c:v>
                </c:pt>
                <c:pt idx="4">
                  <c:v>6.46666666666667E-5</c:v>
                </c:pt>
                <c:pt idx="5">
                  <c:v>7.76666666666666E-5</c:v>
                </c:pt>
                <c:pt idx="6">
                  <c:v>0.000370333333333333</c:v>
                </c:pt>
                <c:pt idx="7">
                  <c:v>0.00038</c:v>
                </c:pt>
                <c:pt idx="8">
                  <c:v>0.000195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'Ping-pong'!$AF$37</c:f>
              <c:strCache>
                <c:ptCount val="1"/>
                <c:pt idx="0">
                  <c:v>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'Ping-pong'!$Z$38:$Z$46</c:f>
              <c:strCache>
                <c:ptCount val="9"/>
                <c:pt idx="0">
                  <c:v>1B</c:v>
                </c:pt>
                <c:pt idx="1">
                  <c:v>10B</c:v>
                </c:pt>
                <c:pt idx="2">
                  <c:v>100B</c:v>
                </c:pt>
                <c:pt idx="3">
                  <c:v>1KB</c:v>
                </c:pt>
                <c:pt idx="4">
                  <c:v>10KB</c:v>
                </c:pt>
                <c:pt idx="5">
                  <c:v>100KB</c:v>
                </c:pt>
                <c:pt idx="6">
                  <c:v>1MB</c:v>
                </c:pt>
                <c:pt idx="7">
                  <c:v>10MB</c:v>
                </c:pt>
                <c:pt idx="8">
                  <c:v>100MB</c:v>
                </c:pt>
              </c:strCache>
            </c:strRef>
          </c:cat>
          <c:val>
            <c:numRef>
              <c:f>'Ping-pong'!$AF$38:$AF$46</c:f>
              <c:numCache>
                <c:formatCode>General</c:formatCode>
                <c:ptCount val="9"/>
                <c:pt idx="0">
                  <c:v>5.0E-6</c:v>
                </c:pt>
                <c:pt idx="1">
                  <c:v>7.33333333333333E-6</c:v>
                </c:pt>
                <c:pt idx="2">
                  <c:v>5.66666666666667E-6</c:v>
                </c:pt>
                <c:pt idx="3">
                  <c:v>6.33333333333333E-6</c:v>
                </c:pt>
                <c:pt idx="4">
                  <c:v>6.43333333333333E-5</c:v>
                </c:pt>
                <c:pt idx="5">
                  <c:v>7.86666666666667E-5</c:v>
                </c:pt>
                <c:pt idx="6">
                  <c:v>0.000422333333333333</c:v>
                </c:pt>
                <c:pt idx="7">
                  <c:v>0.000449666666666666</c:v>
                </c:pt>
                <c:pt idx="8">
                  <c:v>0.000189666666666667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0273728"/>
        <c:axId val="-744026048"/>
      </c:lineChart>
      <c:catAx>
        <c:axId val="-7402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4026048"/>
        <c:crosses val="autoZero"/>
        <c:auto val="1"/>
        <c:lblAlgn val="ctr"/>
        <c:lblOffset val="100"/>
        <c:noMultiLvlLbl val="0"/>
      </c:catAx>
      <c:valAx>
        <c:axId val="-7440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2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Broadcast Avg.</a:t>
            </a:r>
            <a:r>
              <a:rPr lang="en-US" baseline="0"/>
              <a:t> Time (s)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'Broadcast - Reduce'!$B$17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'Broadcast - Reduce'!$C$16:$H$16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28.0</c:v>
                </c:pt>
                <c:pt idx="5">
                  <c:v>56.0</c:v>
                </c:pt>
              </c:numCache>
            </c:numRef>
          </c:cat>
          <c:val>
            <c:numRef>
              <c:f>'Broadcast - Reduce'!$C$17:$H$17</c:f>
              <c:numCache>
                <c:formatCode>General</c:formatCode>
                <c:ptCount val="6"/>
                <c:pt idx="0">
                  <c:v>0.001961</c:v>
                </c:pt>
                <c:pt idx="1">
                  <c:v>0.039027</c:v>
                </c:pt>
                <c:pt idx="2">
                  <c:v>0.090062</c:v>
                </c:pt>
                <c:pt idx="3">
                  <c:v>0.098192</c:v>
                </c:pt>
                <c:pt idx="4">
                  <c:v>0.104333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'Broadcast - Reduce'!$B$18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'Broadcast - Reduce'!$C$16:$H$16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28.0</c:v>
                </c:pt>
                <c:pt idx="5">
                  <c:v>56.0</c:v>
                </c:pt>
              </c:numCache>
            </c:numRef>
          </c:cat>
          <c:val>
            <c:numRef>
              <c:f>'Broadcast - Reduce'!$C$18:$H$18</c:f>
              <c:numCache>
                <c:formatCode>General</c:formatCode>
                <c:ptCount val="6"/>
                <c:pt idx="0">
                  <c:v>0.014813</c:v>
                </c:pt>
                <c:pt idx="1">
                  <c:v>0.037798</c:v>
                </c:pt>
                <c:pt idx="2">
                  <c:v>0.050018</c:v>
                </c:pt>
                <c:pt idx="3">
                  <c:v>0.030959</c:v>
                </c:pt>
                <c:pt idx="4">
                  <c:v>0.03467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'Broadcast - Reduce'!$B$19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'Broadcast - Reduce'!$C$16:$H$16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28.0</c:v>
                </c:pt>
                <c:pt idx="5">
                  <c:v>56.0</c:v>
                </c:pt>
              </c:numCache>
            </c:numRef>
          </c:cat>
          <c:val>
            <c:numRef>
              <c:f>'Broadcast - Reduce'!$C$19:$H$19</c:f>
              <c:numCache>
                <c:formatCode>General</c:formatCode>
                <c:ptCount val="6"/>
                <c:pt idx="0">
                  <c:v>0.137319</c:v>
                </c:pt>
                <c:pt idx="1">
                  <c:v>0.252592</c:v>
                </c:pt>
                <c:pt idx="2">
                  <c:v>0.291272</c:v>
                </c:pt>
                <c:pt idx="3">
                  <c:v>0.300945</c:v>
                </c:pt>
                <c:pt idx="4">
                  <c:v>0.330593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81404640"/>
        <c:axId val="-763522416"/>
      </c:lineChart>
      <c:catAx>
        <c:axId val="-7814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3522416"/>
        <c:crosses val="autoZero"/>
        <c:auto val="1"/>
        <c:lblAlgn val="ctr"/>
        <c:lblOffset val="100"/>
        <c:noMultiLvlLbl val="0"/>
      </c:catAx>
      <c:valAx>
        <c:axId val="-7635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14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Reduce Avg.</a:t>
            </a:r>
            <a:r>
              <a:rPr lang="en-US" baseline="0"/>
              <a:t> Time (s)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'Broadcast - Reduce'!$J$17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'Broadcast - Reduce'!$K$16:$P$16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28.0</c:v>
                </c:pt>
                <c:pt idx="5">
                  <c:v>56.0</c:v>
                </c:pt>
              </c:numCache>
            </c:numRef>
          </c:cat>
          <c:val>
            <c:numRef>
              <c:f>'Broadcast - Reduce'!$K$17:$P$17</c:f>
              <c:numCache>
                <c:formatCode>General</c:formatCode>
                <c:ptCount val="6"/>
                <c:pt idx="0">
                  <c:v>0.000418</c:v>
                </c:pt>
                <c:pt idx="1">
                  <c:v>0.000439</c:v>
                </c:pt>
                <c:pt idx="2">
                  <c:v>0.012998</c:v>
                </c:pt>
                <c:pt idx="3">
                  <c:v>0.006578</c:v>
                </c:pt>
                <c:pt idx="4">
                  <c:v>0.003312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'Broadcast - Reduce'!$J$18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'Broadcast - Reduce'!$K$16:$P$16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28.0</c:v>
                </c:pt>
                <c:pt idx="5">
                  <c:v>56.0</c:v>
                </c:pt>
              </c:numCache>
            </c:numRef>
          </c:cat>
          <c:val>
            <c:numRef>
              <c:f>'Broadcast - Reduce'!$K$18:$P$18</c:f>
              <c:numCache>
                <c:formatCode>General</c:formatCode>
                <c:ptCount val="6"/>
                <c:pt idx="0">
                  <c:v>0.003533</c:v>
                </c:pt>
                <c:pt idx="1">
                  <c:v>0.003577</c:v>
                </c:pt>
                <c:pt idx="2">
                  <c:v>0.003646</c:v>
                </c:pt>
                <c:pt idx="3">
                  <c:v>0.00691</c:v>
                </c:pt>
                <c:pt idx="4">
                  <c:v>0.00686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'Broadcast - Reduce'!$J$19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'Broadcast - Reduce'!$K$16:$P$16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28.0</c:v>
                </c:pt>
                <c:pt idx="5">
                  <c:v>56.0</c:v>
                </c:pt>
              </c:numCache>
            </c:numRef>
          </c:cat>
          <c:val>
            <c:numRef>
              <c:f>'Broadcast - Reduce'!$K$19:$P$19</c:f>
              <c:numCache>
                <c:formatCode>General</c:formatCode>
                <c:ptCount val="6"/>
                <c:pt idx="0">
                  <c:v>0.035555</c:v>
                </c:pt>
                <c:pt idx="1">
                  <c:v>0.03714</c:v>
                </c:pt>
                <c:pt idx="2">
                  <c:v>0.048351</c:v>
                </c:pt>
                <c:pt idx="3">
                  <c:v>0.040296</c:v>
                </c:pt>
                <c:pt idx="4">
                  <c:v>0.038582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7169648"/>
        <c:axId val="-767021216"/>
      </c:lineChart>
      <c:catAx>
        <c:axId val="-7671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7021216"/>
        <c:crosses val="autoZero"/>
        <c:auto val="1"/>
        <c:lblAlgn val="ctr"/>
        <c:lblOffset val="100"/>
        <c:noMultiLvlLbl val="0"/>
      </c:catAx>
      <c:valAx>
        <c:axId val="-7670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71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812800</xdr:colOff>
      <xdr:row>15</xdr:row>
      <xdr:rowOff>133350</xdr:rowOff>
    </xdr:from>
    <xdr:to>
      <xdr:col>32</xdr:col>
      <xdr:colOff>12700</xdr:colOff>
      <xdr:row>31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48</xdr:row>
      <xdr:rowOff>95250</xdr:rowOff>
    </xdr:from>
    <xdr:to>
      <xdr:col>32</xdr:col>
      <xdr:colOff>12700</xdr:colOff>
      <xdr:row>63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20</xdr:row>
      <xdr:rowOff>196850</xdr:rowOff>
    </xdr:from>
    <xdr:to>
      <xdr:col>8</xdr:col>
      <xdr:colOff>0</xdr:colOff>
      <xdr:row>34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800100</xdr:colOff>
      <xdr:row>20</xdr:row>
      <xdr:rowOff>171450</xdr:rowOff>
    </xdr:from>
    <xdr:to>
      <xdr:col>16</xdr:col>
      <xdr:colOff>12700</xdr:colOff>
      <xdr:row>34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64"/>
  <sheetViews>
    <sheetView topLeftCell="S1" workbookViewId="0">
      <selection activeCell="AH59" sqref="AH59"/>
    </sheetView>
  </sheetViews>
  <sheetFormatPr baseColWidth="10" defaultRowHeight="14" x14ac:dyDescent="0.2"/>
  <cols>
    <col min="1" max="1" width="13.5" style="3" customWidth="1"/>
    <col min="2" max="8" width="10.83203125" style="3"/>
    <col min="9" max="9" width="12.33203125" style="3" customWidth="1"/>
    <col min="10" max="16384" width="10.83203125" style="3"/>
  </cols>
  <sheetData>
    <row r="2" spans="1:32" x14ac:dyDescent="0.2">
      <c r="A2" s="1" t="s">
        <v>3</v>
      </c>
      <c r="B2" s="2" t="s">
        <v>1</v>
      </c>
      <c r="C2" s="2"/>
      <c r="D2" s="2"/>
      <c r="E2" s="2"/>
      <c r="F2" s="2"/>
      <c r="G2" s="2"/>
      <c r="I2" s="1" t="s">
        <v>3</v>
      </c>
      <c r="J2" s="2" t="s">
        <v>6</v>
      </c>
      <c r="K2" s="2"/>
      <c r="L2" s="2"/>
      <c r="M2" s="2"/>
      <c r="N2" s="2"/>
      <c r="O2" s="2"/>
      <c r="Q2" s="1" t="s">
        <v>3</v>
      </c>
      <c r="R2" s="2" t="s">
        <v>8</v>
      </c>
      <c r="S2" s="2"/>
      <c r="T2" s="2"/>
      <c r="U2" s="2"/>
      <c r="V2" s="2"/>
      <c r="W2" s="2"/>
    </row>
    <row r="3" spans="1:32" x14ac:dyDescent="0.2">
      <c r="A3" s="1" t="s">
        <v>2</v>
      </c>
      <c r="B3" s="2">
        <v>2</v>
      </c>
      <c r="C3" s="2">
        <v>4</v>
      </c>
      <c r="D3" s="2">
        <v>8</v>
      </c>
      <c r="E3" s="2">
        <v>16</v>
      </c>
      <c r="F3" s="2">
        <v>32</v>
      </c>
      <c r="G3" s="2">
        <v>56</v>
      </c>
      <c r="I3" s="4"/>
      <c r="J3" s="2">
        <v>2</v>
      </c>
      <c r="K3" s="2">
        <v>4</v>
      </c>
      <c r="L3" s="2">
        <v>8</v>
      </c>
      <c r="M3" s="2">
        <v>16</v>
      </c>
      <c r="N3" s="2">
        <v>32</v>
      </c>
      <c r="O3" s="2">
        <v>56</v>
      </c>
      <c r="Q3" s="4" t="s">
        <v>5</v>
      </c>
      <c r="R3" s="2">
        <v>2</v>
      </c>
      <c r="S3" s="2">
        <v>4</v>
      </c>
      <c r="T3" s="2">
        <v>8</v>
      </c>
      <c r="U3" s="2">
        <v>16</v>
      </c>
      <c r="V3" s="2">
        <v>32</v>
      </c>
      <c r="W3" s="2">
        <v>56</v>
      </c>
    </row>
    <row r="4" spans="1:32" x14ac:dyDescent="0.2">
      <c r="A4" s="1" t="s">
        <v>0</v>
      </c>
      <c r="B4" s="2"/>
      <c r="C4" s="2"/>
      <c r="D4" s="2"/>
      <c r="E4" s="2"/>
      <c r="F4" s="2"/>
      <c r="G4" s="2"/>
      <c r="I4" s="5"/>
      <c r="J4" s="2"/>
      <c r="K4" s="2"/>
      <c r="L4" s="2"/>
      <c r="M4" s="2"/>
      <c r="N4" s="2"/>
      <c r="O4" s="2"/>
      <c r="Q4" s="5"/>
      <c r="R4" s="2"/>
      <c r="S4" s="2"/>
      <c r="T4" s="2"/>
      <c r="U4" s="2"/>
      <c r="V4" s="2"/>
      <c r="W4" s="2"/>
      <c r="Y4" s="24"/>
      <c r="Z4" s="24"/>
      <c r="AA4" s="31">
        <v>2</v>
      </c>
      <c r="AB4" s="31">
        <v>4</v>
      </c>
      <c r="AC4" s="31">
        <v>8</v>
      </c>
      <c r="AD4" s="31">
        <v>16</v>
      </c>
      <c r="AE4" s="31">
        <v>32</v>
      </c>
      <c r="AF4" s="31">
        <v>56</v>
      </c>
    </row>
    <row r="5" spans="1:32" x14ac:dyDescent="0.2">
      <c r="A5" s="6">
        <v>1</v>
      </c>
      <c r="B5" s="7">
        <f xml:space="preserve"> 0.000054</f>
        <v>5.3999999999999998E-5</v>
      </c>
      <c r="C5" s="7">
        <f>0.00028</f>
        <v>2.7999999999999998E-4</v>
      </c>
      <c r="D5" s="7">
        <f>0.000118</f>
        <v>1.18E-4</v>
      </c>
      <c r="E5" s="7">
        <f>0.002803</f>
        <v>2.8029999999999999E-3</v>
      </c>
      <c r="F5" s="7">
        <f>0.000139</f>
        <v>1.3899999999999999E-4</v>
      </c>
      <c r="G5" s="7">
        <f>0.000119</f>
        <v>1.1900000000000001E-4</v>
      </c>
      <c r="I5" s="6">
        <v>1</v>
      </c>
      <c r="J5" s="8">
        <f>AVERAGE(B5:B7)</f>
        <v>1.2933333333333332E-3</v>
      </c>
      <c r="K5" s="8">
        <f t="shared" ref="K5:O5" si="0">AVERAGE(C5:C7)</f>
        <v>2.9700000000000001E-4</v>
      </c>
      <c r="L5" s="8">
        <f t="shared" si="0"/>
        <v>1.3390000000000001E-3</v>
      </c>
      <c r="M5" s="8">
        <f t="shared" si="0"/>
        <v>1.0269999999999999E-3</v>
      </c>
      <c r="N5" s="8">
        <f t="shared" si="0"/>
        <v>1.6166666666666665E-4</v>
      </c>
      <c r="O5" s="8">
        <f t="shared" si="0"/>
        <v>1.3933333333333332E-4</v>
      </c>
      <c r="Q5" s="6">
        <v>1</v>
      </c>
      <c r="R5" s="9">
        <f>$Q5/J5/1000000</f>
        <v>7.7319587628865987E-4</v>
      </c>
      <c r="S5" s="9">
        <f t="shared" ref="S5:W5" si="1">$Q5/K5/1000000</f>
        <v>3.3670033670033669E-3</v>
      </c>
      <c r="T5" s="9">
        <f t="shared" si="1"/>
        <v>7.4682598954443609E-4</v>
      </c>
      <c r="U5" s="9">
        <f t="shared" si="1"/>
        <v>9.7370983446932828E-4</v>
      </c>
      <c r="V5" s="9">
        <f t="shared" si="1"/>
        <v>6.1855670103092789E-3</v>
      </c>
      <c r="W5" s="9">
        <f t="shared" si="1"/>
        <v>7.1770334928229667E-3</v>
      </c>
      <c r="Y5" s="31">
        <v>1</v>
      </c>
      <c r="Z5" s="31" t="s">
        <v>20</v>
      </c>
      <c r="AA5" s="24">
        <f ca="1">INDIRECT("J"&amp;(5 + (Y5 - 1) * 3))</f>
        <v>1.2933333333333332E-3</v>
      </c>
      <c r="AB5" s="24">
        <f ca="1">INDIRECT("K"&amp;(5 + ($Y5 - 1) * 3))</f>
        <v>2.9700000000000001E-4</v>
      </c>
      <c r="AC5" s="24">
        <f ca="1">INDIRECT("L"&amp;(5 + ($Y5 - 1) * 3))</f>
        <v>1.3390000000000001E-3</v>
      </c>
      <c r="AD5" s="24">
        <f ca="1">INDIRECT("M"&amp;(5 + ($Y5 - 1) * 3))</f>
        <v>1.0269999999999999E-3</v>
      </c>
      <c r="AE5" s="24">
        <f ca="1">INDIRECT("N"&amp;(5 + ($Y5 - 1) * 3))</f>
        <v>1.6166666666666665E-4</v>
      </c>
      <c r="AF5" s="24">
        <f ca="1">INDIRECT("O"&amp;(5 + ($Y5 - 1) * 3))</f>
        <v>1.3933333333333332E-4</v>
      </c>
    </row>
    <row r="6" spans="1:32" x14ac:dyDescent="0.2">
      <c r="A6" s="6"/>
      <c r="B6" s="7">
        <f>0.00006</f>
        <v>6.0000000000000002E-5</v>
      </c>
      <c r="C6" s="7">
        <f>0.000285</f>
        <v>2.8499999999999999E-4</v>
      </c>
      <c r="D6" s="7">
        <f>0.003739</f>
        <v>3.7390000000000001E-3</v>
      </c>
      <c r="E6" s="7">
        <f>0.000122</f>
        <v>1.22E-4</v>
      </c>
      <c r="F6" s="7">
        <f>0.000159</f>
        <v>1.5899999999999999E-4</v>
      </c>
      <c r="G6" s="7">
        <f>0.000131</f>
        <v>1.3100000000000001E-4</v>
      </c>
      <c r="I6" s="6"/>
      <c r="J6" s="10"/>
      <c r="K6" s="10"/>
      <c r="L6" s="10"/>
      <c r="M6" s="10"/>
      <c r="N6" s="10"/>
      <c r="O6" s="10"/>
      <c r="Q6" s="6"/>
      <c r="R6" s="11"/>
      <c r="S6" s="11"/>
      <c r="T6" s="11"/>
      <c r="U6" s="11"/>
      <c r="V6" s="11"/>
      <c r="W6" s="11"/>
      <c r="Y6" s="31">
        <v>2</v>
      </c>
      <c r="Z6" s="31" t="s">
        <v>21</v>
      </c>
      <c r="AA6" s="24">
        <f t="shared" ref="AA6:AA13" ca="1" si="2">INDIRECT("J"&amp;(5 + (Y6 - 1) * 3))</f>
        <v>1.6170666666666667E-2</v>
      </c>
      <c r="AB6" s="24">
        <f t="shared" ref="AB6:AB13" ca="1" si="3">INDIRECT("K"&amp;(5 + ($Y6 - 1) * 3))</f>
        <v>2.52E-4</v>
      </c>
      <c r="AC6" s="24">
        <f t="shared" ref="AC6:AC13" ca="1" si="4">INDIRECT("L"&amp;(5 + ($Y6 - 1) * 3))</f>
        <v>9.8666666666666662E-5</v>
      </c>
      <c r="AD6" s="24">
        <f t="shared" ref="AD6:AD13" ca="1" si="5">INDIRECT("M"&amp;(5 + ($Y6 - 1) * 3))</f>
        <v>2.1623333333333334E-3</v>
      </c>
      <c r="AE6" s="24">
        <f t="shared" ref="AE6:AE13" ca="1" si="6">INDIRECT("N"&amp;(5 + ($Y6 - 1) * 3))</f>
        <v>1.0166666666666667E-4</v>
      </c>
      <c r="AF6" s="24">
        <f t="shared" ref="AF6:AF13" ca="1" si="7">INDIRECT("O"&amp;(5 + ($Y6 - 1) * 3))</f>
        <v>1.0899999999999999E-4</v>
      </c>
    </row>
    <row r="7" spans="1:32" x14ac:dyDescent="0.2">
      <c r="A7" s="6"/>
      <c r="B7" s="7">
        <f>0.003766</f>
        <v>3.7659999999999998E-3</v>
      </c>
      <c r="C7" s="7">
        <f>0.000326</f>
        <v>3.2600000000000001E-4</v>
      </c>
      <c r="D7" s="7">
        <f>0.00016</f>
        <v>1.6000000000000001E-4</v>
      </c>
      <c r="E7" s="7">
        <f xml:space="preserve"> 0.000156</f>
        <v>1.56E-4</v>
      </c>
      <c r="F7" s="7">
        <f>0.000187</f>
        <v>1.8699999999999999E-4</v>
      </c>
      <c r="G7" s="7">
        <f>0.000168</f>
        <v>1.6799999999999999E-4</v>
      </c>
      <c r="I7" s="6"/>
      <c r="J7" s="12"/>
      <c r="K7" s="12"/>
      <c r="L7" s="12"/>
      <c r="M7" s="12"/>
      <c r="N7" s="12"/>
      <c r="O7" s="12"/>
      <c r="Q7" s="6"/>
      <c r="R7" s="13"/>
      <c r="S7" s="13"/>
      <c r="T7" s="13"/>
      <c r="U7" s="13"/>
      <c r="V7" s="13"/>
      <c r="W7" s="13"/>
      <c r="Y7" s="31">
        <v>3</v>
      </c>
      <c r="Z7" s="31" t="s">
        <v>22</v>
      </c>
      <c r="AA7" s="24">
        <f t="shared" ca="1" si="2"/>
        <v>5.5404333333333333E-2</v>
      </c>
      <c r="AB7" s="24">
        <f t="shared" ca="1" si="3"/>
        <v>1.6200000000000001E-4</v>
      </c>
      <c r="AC7" s="24">
        <f t="shared" ca="1" si="4"/>
        <v>2.7270000000000003E-3</v>
      </c>
      <c r="AD7" s="24">
        <f t="shared" ca="1" si="5"/>
        <v>3.3262333333333331E-2</v>
      </c>
      <c r="AE7" s="24">
        <f t="shared" ca="1" si="6"/>
        <v>9.7633333333333339E-3</v>
      </c>
      <c r="AF7" s="24">
        <f t="shared" ca="1" si="7"/>
        <v>9.4666666666666659E-5</v>
      </c>
    </row>
    <row r="8" spans="1:32" x14ac:dyDescent="0.2">
      <c r="A8" s="6">
        <v>10</v>
      </c>
      <c r="B8" s="7">
        <f>0.000087</f>
        <v>8.7000000000000001E-5</v>
      </c>
      <c r="C8" s="7">
        <f>0.000217</f>
        <v>2.1699999999999999E-4</v>
      </c>
      <c r="D8" s="7">
        <f>0.000078</f>
        <v>7.7999999999999999E-5</v>
      </c>
      <c r="E8" s="7">
        <f>0.000075</f>
        <v>7.4999999999999993E-5</v>
      </c>
      <c r="F8" s="7">
        <f>0.000075</f>
        <v>7.4999999999999993E-5</v>
      </c>
      <c r="G8" s="7">
        <f>0.000094</f>
        <v>9.3999999999999994E-5</v>
      </c>
      <c r="I8" s="6">
        <v>10</v>
      </c>
      <c r="J8" s="8">
        <f t="shared" ref="J8" si="8">AVERAGE(B8:B10)</f>
        <v>1.6170666666666667E-2</v>
      </c>
      <c r="K8" s="8">
        <f t="shared" ref="K8" si="9">AVERAGE(C8:C10)</f>
        <v>2.52E-4</v>
      </c>
      <c r="L8" s="8">
        <f t="shared" ref="L8" si="10">AVERAGE(D8:D10)</f>
        <v>9.8666666666666662E-5</v>
      </c>
      <c r="M8" s="8">
        <f t="shared" ref="M8" si="11">AVERAGE(E8:E10)</f>
        <v>2.1623333333333334E-3</v>
      </c>
      <c r="N8" s="8">
        <f t="shared" ref="N8" si="12">AVERAGE(F8:F10)</f>
        <v>1.0166666666666667E-4</v>
      </c>
      <c r="O8" s="8">
        <f t="shared" ref="O8" si="13">AVERAGE(G8:G10)</f>
        <v>1.0899999999999999E-4</v>
      </c>
      <c r="Q8" s="6">
        <v>10</v>
      </c>
      <c r="R8" s="9">
        <f t="shared" ref="R8" si="14">$Q8/J8/1000000</f>
        <v>6.1840369393139835E-4</v>
      </c>
      <c r="S8" s="9">
        <f t="shared" ref="S8" si="15">$Q8/K8/1000000</f>
        <v>3.968253968253968E-2</v>
      </c>
      <c r="T8" s="9">
        <f t="shared" ref="T8" si="16">$Q8/L8/1000000</f>
        <v>0.10135135135135136</v>
      </c>
      <c r="U8" s="9">
        <f t="shared" ref="U8" si="17">$Q8/M8/1000000</f>
        <v>4.6246338831509174E-3</v>
      </c>
      <c r="V8" s="9">
        <f t="shared" ref="V8" si="18">$Q8/N8/1000000</f>
        <v>9.8360655737704916E-2</v>
      </c>
      <c r="W8" s="9">
        <f t="shared" ref="W8" si="19">$Q8/O8/1000000</f>
        <v>9.1743119266055065E-2</v>
      </c>
      <c r="Y8" s="31">
        <v>4</v>
      </c>
      <c r="Z8" s="31" t="s">
        <v>23</v>
      </c>
      <c r="AA8" s="24">
        <f t="shared" ca="1" si="2"/>
        <v>4.4712666666666671E-2</v>
      </c>
      <c r="AB8" s="24">
        <f t="shared" ca="1" si="3"/>
        <v>1.5566666666666666E-4</v>
      </c>
      <c r="AC8" s="24">
        <f t="shared" ca="1" si="4"/>
        <v>2.5429999999999997E-3</v>
      </c>
      <c r="AD8" s="24">
        <f t="shared" ca="1" si="5"/>
        <v>5.6333333333333332E-5</v>
      </c>
      <c r="AE8" s="24">
        <f t="shared" ca="1" si="6"/>
        <v>5.1E-5</v>
      </c>
      <c r="AF8" s="24">
        <f t="shared" ca="1" si="7"/>
        <v>6.2333333333333335E-5</v>
      </c>
    </row>
    <row r="9" spans="1:32" x14ac:dyDescent="0.2">
      <c r="A9" s="6"/>
      <c r="B9" s="7">
        <f>0.000058</f>
        <v>5.8E-5</v>
      </c>
      <c r="C9" s="7">
        <f>0.000287</f>
        <v>2.8699999999999998E-4</v>
      </c>
      <c r="D9" s="7">
        <f>0.000124</f>
        <v>1.2400000000000001E-4</v>
      </c>
      <c r="E9" s="7">
        <f>0.006322</f>
        <v>6.3220000000000004E-3</v>
      </c>
      <c r="F9" s="7">
        <f>0.000141</f>
        <v>1.4100000000000001E-4</v>
      </c>
      <c r="G9" s="7">
        <f>0.000122</f>
        <v>1.22E-4</v>
      </c>
      <c r="I9" s="6"/>
      <c r="J9" s="10"/>
      <c r="K9" s="10"/>
      <c r="L9" s="10"/>
      <c r="M9" s="10"/>
      <c r="N9" s="10"/>
      <c r="O9" s="10"/>
      <c r="Q9" s="6"/>
      <c r="R9" s="11"/>
      <c r="S9" s="11"/>
      <c r="T9" s="11"/>
      <c r="U9" s="11"/>
      <c r="V9" s="11"/>
      <c r="W9" s="11"/>
      <c r="Y9" s="31">
        <v>5</v>
      </c>
      <c r="Z9" s="31" t="s">
        <v>24</v>
      </c>
      <c r="AA9" s="24">
        <f t="shared" ca="1" si="2"/>
        <v>4.2833333333333335E-4</v>
      </c>
      <c r="AB9" s="24">
        <f t="shared" ca="1" si="3"/>
        <v>1.3799999999999999E-4</v>
      </c>
      <c r="AC9" s="24">
        <f t="shared" ca="1" si="4"/>
        <v>2.7115E-2</v>
      </c>
      <c r="AD9" s="24">
        <f t="shared" ca="1" si="5"/>
        <v>1.6300000000000003E-4</v>
      </c>
      <c r="AE9" s="24">
        <f t="shared" ca="1" si="6"/>
        <v>1.4733333333333333E-4</v>
      </c>
      <c r="AF9" s="24">
        <f t="shared" ca="1" si="7"/>
        <v>1.65E-4</v>
      </c>
    </row>
    <row r="10" spans="1:32" x14ac:dyDescent="0.2">
      <c r="A10" s="6"/>
      <c r="B10" s="7">
        <f>0.048367</f>
        <v>4.8367E-2</v>
      </c>
      <c r="C10" s="7">
        <f>0.000252</f>
        <v>2.52E-4</v>
      </c>
      <c r="D10" s="7">
        <f>0.000094</f>
        <v>9.3999999999999994E-5</v>
      </c>
      <c r="E10" s="7">
        <f>0.00009</f>
        <v>9.0000000000000006E-5</v>
      </c>
      <c r="F10" s="7">
        <f>0.000089</f>
        <v>8.8999999999999995E-5</v>
      </c>
      <c r="G10" s="7">
        <f>0.000111</f>
        <v>1.11E-4</v>
      </c>
      <c r="I10" s="6"/>
      <c r="J10" s="12"/>
      <c r="K10" s="12"/>
      <c r="L10" s="12"/>
      <c r="M10" s="12"/>
      <c r="N10" s="12"/>
      <c r="O10" s="12"/>
      <c r="Q10" s="6"/>
      <c r="R10" s="13"/>
      <c r="S10" s="13"/>
      <c r="T10" s="13"/>
      <c r="U10" s="13"/>
      <c r="V10" s="13"/>
      <c r="W10" s="13"/>
      <c r="Y10" s="31">
        <v>6</v>
      </c>
      <c r="Z10" s="31" t="s">
        <v>25</v>
      </c>
      <c r="AA10" s="24">
        <f t="shared" ca="1" si="2"/>
        <v>1.6062999999999997E-2</v>
      </c>
      <c r="AB10" s="24">
        <f t="shared" ca="1" si="3"/>
        <v>1.3656666666666667E-3</v>
      </c>
      <c r="AC10" s="24">
        <f t="shared" ca="1" si="4"/>
        <v>2.0333333333333333E-4</v>
      </c>
      <c r="AD10" s="24">
        <f t="shared" ca="1" si="5"/>
        <v>1.0563333333333334E-3</v>
      </c>
      <c r="AE10" s="24">
        <f t="shared" ca="1" si="6"/>
        <v>1.2836666666666667E-3</v>
      </c>
      <c r="AF10" s="24">
        <f t="shared" ca="1" si="7"/>
        <v>2.0100000000000001E-4</v>
      </c>
    </row>
    <row r="11" spans="1:32" x14ac:dyDescent="0.2">
      <c r="A11" s="6">
        <v>100</v>
      </c>
      <c r="B11" s="7">
        <f>0.047875</f>
        <v>4.7875000000000001E-2</v>
      </c>
      <c r="C11" s="7">
        <f>0.000253</f>
        <v>2.5300000000000002E-4</v>
      </c>
      <c r="D11" s="7">
        <f>0.000114</f>
        <v>1.1400000000000001E-4</v>
      </c>
      <c r="E11" s="7">
        <f>0.000112</f>
        <v>1.12E-4</v>
      </c>
      <c r="F11" s="7">
        <f>0.004606</f>
        <v>4.6059999999999999E-3</v>
      </c>
      <c r="G11" s="7">
        <f>0.000123</f>
        <v>1.2300000000000001E-4</v>
      </c>
      <c r="I11" s="6">
        <v>100</v>
      </c>
      <c r="J11" s="8">
        <f t="shared" ref="J11" si="20">AVERAGE(B11:B13)</f>
        <v>5.5404333333333333E-2</v>
      </c>
      <c r="K11" s="8">
        <f t="shared" ref="K11" si="21">AVERAGE(C11:C13)</f>
        <v>1.6200000000000001E-4</v>
      </c>
      <c r="L11" s="8">
        <f t="shared" ref="L11" si="22">AVERAGE(D11:D13)</f>
        <v>2.7270000000000003E-3</v>
      </c>
      <c r="M11" s="8">
        <f t="shared" ref="M11" si="23">AVERAGE(E11:E13)</f>
        <v>3.3262333333333331E-2</v>
      </c>
      <c r="N11" s="8">
        <f t="shared" ref="N11" si="24">AVERAGE(F11:F13)</f>
        <v>9.7633333333333339E-3</v>
      </c>
      <c r="O11" s="8">
        <f t="shared" ref="O11" si="25">AVERAGE(G11:G13)</f>
        <v>9.4666666666666659E-5</v>
      </c>
      <c r="Q11" s="6">
        <v>100</v>
      </c>
      <c r="R11" s="9">
        <f t="shared" ref="R11" si="26">$Q11/J11/1000000</f>
        <v>1.8049129731128131E-3</v>
      </c>
      <c r="S11" s="9">
        <f t="shared" ref="S11" si="27">$Q11/K11/1000000</f>
        <v>0.61728395061728392</v>
      </c>
      <c r="T11" s="9">
        <f t="shared" ref="T11" si="28">$Q11/L11/1000000</f>
        <v>3.6670333700036667E-2</v>
      </c>
      <c r="U11" s="9">
        <f t="shared" ref="U11" si="29">$Q11/M11/1000000</f>
        <v>3.0064036397526735E-3</v>
      </c>
      <c r="V11" s="9">
        <f t="shared" ref="V11" si="30">$Q11/N11/1000000</f>
        <v>1.0242403550699898E-2</v>
      </c>
      <c r="W11" s="9">
        <f t="shared" ref="W11" si="31">$Q11/O11/1000000</f>
        <v>1.0563380281690142</v>
      </c>
      <c r="Y11" s="31">
        <v>7</v>
      </c>
      <c r="Z11" s="31" t="s">
        <v>26</v>
      </c>
      <c r="AA11" s="24">
        <f t="shared" ca="1" si="2"/>
        <v>1.2786666666666667E-3</v>
      </c>
      <c r="AB11" s="24">
        <f t="shared" ca="1" si="3"/>
        <v>1.1460000000000001E-3</v>
      </c>
      <c r="AC11" s="24">
        <f t="shared" ca="1" si="4"/>
        <v>1.1523333333333333E-3</v>
      </c>
      <c r="AD11" s="24">
        <f t="shared" ca="1" si="5"/>
        <v>1.5186E-2</v>
      </c>
      <c r="AE11" s="24">
        <f t="shared" ca="1" si="6"/>
        <v>1.1803333333333334E-3</v>
      </c>
      <c r="AF11" s="24">
        <f t="shared" ca="1" si="7"/>
        <v>1.3276666666666669E-3</v>
      </c>
    </row>
    <row r="12" spans="1:32" x14ac:dyDescent="0.2">
      <c r="A12" s="6"/>
      <c r="B12" s="7">
        <f>0.118281</f>
        <v>0.118281</v>
      </c>
      <c r="C12" s="7">
        <f>0.000208</f>
        <v>2.0799999999999999E-4</v>
      </c>
      <c r="D12" s="7">
        <f>0.000081</f>
        <v>8.1000000000000004E-5</v>
      </c>
      <c r="E12" s="7">
        <f>0.099646</f>
        <v>9.9645999999999998E-2</v>
      </c>
      <c r="F12" s="7">
        <f>0.000039</f>
        <v>3.8999999999999999E-5</v>
      </c>
      <c r="G12" s="7">
        <f>0.000044</f>
        <v>4.3999999999999999E-5</v>
      </c>
      <c r="I12" s="6"/>
      <c r="J12" s="10"/>
      <c r="K12" s="10"/>
      <c r="L12" s="10"/>
      <c r="M12" s="10"/>
      <c r="N12" s="10"/>
      <c r="O12" s="10"/>
      <c r="Q12" s="6"/>
      <c r="R12" s="11"/>
      <c r="S12" s="11"/>
      <c r="T12" s="11"/>
      <c r="U12" s="11"/>
      <c r="V12" s="11"/>
      <c r="W12" s="11"/>
      <c r="Y12" s="31">
        <v>8</v>
      </c>
      <c r="Z12" s="31" t="s">
        <v>27</v>
      </c>
      <c r="AA12" s="24">
        <f t="shared" ca="1" si="2"/>
        <v>0.16772100000000001</v>
      </c>
      <c r="AB12" s="24">
        <f t="shared" ca="1" si="3"/>
        <v>6.8446333333333331E-2</v>
      </c>
      <c r="AC12" s="24">
        <f t="shared" ca="1" si="4"/>
        <v>0.13153600000000001</v>
      </c>
      <c r="AD12" s="24">
        <f t="shared" ca="1" si="5"/>
        <v>0.13348166666666669</v>
      </c>
      <c r="AE12" s="24">
        <f t="shared" ca="1" si="6"/>
        <v>0.10085266666666666</v>
      </c>
      <c r="AF12" s="24">
        <f t="shared" ca="1" si="7"/>
        <v>0.13333400000000001</v>
      </c>
    </row>
    <row r="13" spans="1:32" x14ac:dyDescent="0.2">
      <c r="A13" s="6"/>
      <c r="B13" s="7">
        <f>0.000057</f>
        <v>5.7000000000000003E-5</v>
      </c>
      <c r="C13" s="7">
        <f>0.000025</f>
        <v>2.5000000000000001E-5</v>
      </c>
      <c r="D13" s="7">
        <f>0.007986</f>
        <v>7.986E-3</v>
      </c>
      <c r="E13" s="7">
        <f>0.000029</f>
        <v>2.9E-5</v>
      </c>
      <c r="F13" s="7">
        <f>0.024645</f>
        <v>2.4645E-2</v>
      </c>
      <c r="G13" s="7">
        <f>0.000117</f>
        <v>1.17E-4</v>
      </c>
      <c r="I13" s="6"/>
      <c r="J13" s="12"/>
      <c r="K13" s="12"/>
      <c r="L13" s="12"/>
      <c r="M13" s="12"/>
      <c r="N13" s="12"/>
      <c r="O13" s="12"/>
      <c r="Q13" s="6"/>
      <c r="R13" s="13"/>
      <c r="S13" s="13"/>
      <c r="T13" s="13"/>
      <c r="U13" s="13"/>
      <c r="V13" s="13"/>
      <c r="W13" s="13"/>
      <c r="Y13" s="31">
        <v>9</v>
      </c>
      <c r="Z13" s="31" t="s">
        <v>28</v>
      </c>
      <c r="AA13" s="24">
        <f t="shared" ca="1" si="2"/>
        <v>2.0277759999999998</v>
      </c>
      <c r="AB13" s="24">
        <f t="shared" ca="1" si="3"/>
        <v>1.9029976666666666</v>
      </c>
      <c r="AC13" s="24">
        <f t="shared" ca="1" si="4"/>
        <v>1.8649769999999999</v>
      </c>
      <c r="AD13" s="24">
        <f t="shared" ca="1" si="5"/>
        <v>2.2996226666666666</v>
      </c>
      <c r="AE13" s="24">
        <f t="shared" ca="1" si="6"/>
        <v>1.7025643333333331</v>
      </c>
      <c r="AF13" s="24">
        <f t="shared" ca="1" si="7"/>
        <v>2.1996009999999999</v>
      </c>
    </row>
    <row r="14" spans="1:32" x14ac:dyDescent="0.2">
      <c r="A14" s="6">
        <v>1000</v>
      </c>
      <c r="B14" s="7">
        <f>0.000076</f>
        <v>7.6000000000000004E-5</v>
      </c>
      <c r="C14" s="7">
        <f>0.000214</f>
        <v>2.14E-4</v>
      </c>
      <c r="D14" s="7">
        <f>0.000089</f>
        <v>8.8999999999999995E-5</v>
      </c>
      <c r="E14" s="7">
        <f>0.000084</f>
        <v>8.3999999999999995E-5</v>
      </c>
      <c r="F14" s="7">
        <f>0.000085</f>
        <v>8.5000000000000006E-5</v>
      </c>
      <c r="G14" s="7">
        <f>0.000105</f>
        <v>1.05E-4</v>
      </c>
      <c r="I14" s="6">
        <v>1000</v>
      </c>
      <c r="J14" s="8">
        <f t="shared" ref="J14" si="32">AVERAGE(B14:B16)</f>
        <v>4.4712666666666671E-2</v>
      </c>
      <c r="K14" s="8">
        <f t="shared" ref="K14" si="33">AVERAGE(C14:C16)</f>
        <v>1.5566666666666666E-4</v>
      </c>
      <c r="L14" s="8">
        <f t="shared" ref="L14" si="34">AVERAGE(D14:D16)</f>
        <v>2.5429999999999997E-3</v>
      </c>
      <c r="M14" s="8">
        <f t="shared" ref="M14" si="35">AVERAGE(E14:E16)</f>
        <v>5.6333333333333332E-5</v>
      </c>
      <c r="N14" s="8">
        <f t="shared" ref="N14" si="36">AVERAGE(F14:F16)</f>
        <v>5.1E-5</v>
      </c>
      <c r="O14" s="8">
        <f t="shared" ref="O14" si="37">AVERAGE(G14:G16)</f>
        <v>6.2333333333333335E-5</v>
      </c>
      <c r="Q14" s="6">
        <v>1000</v>
      </c>
      <c r="R14" s="9">
        <f t="shared" ref="R14" si="38">$Q14/J14/1000000</f>
        <v>2.2365027061682745E-2</v>
      </c>
      <c r="S14" s="9">
        <f t="shared" ref="S14" si="39">$Q14/K14/1000000</f>
        <v>6.4239828693790146</v>
      </c>
      <c r="T14" s="9">
        <f t="shared" ref="T14" si="40">$Q14/L14/1000000</f>
        <v>0.3932363350373575</v>
      </c>
      <c r="U14" s="9">
        <f t="shared" ref="U14" si="41">$Q14/M14/1000000</f>
        <v>17.751479289940832</v>
      </c>
      <c r="V14" s="9">
        <f t="shared" ref="V14" si="42">$Q14/N14/1000000</f>
        <v>19.6078431372549</v>
      </c>
      <c r="W14" s="9">
        <f t="shared" ref="W14" si="43">$Q14/O14/1000000</f>
        <v>16.042780748663102</v>
      </c>
    </row>
    <row r="15" spans="1:32" x14ac:dyDescent="0.2">
      <c r="A15" s="6"/>
      <c r="B15" s="7">
        <f>0.045412</f>
        <v>4.5412000000000001E-2</v>
      </c>
      <c r="C15" s="7">
        <f>0.000029</f>
        <v>2.9E-5</v>
      </c>
      <c r="D15" s="7">
        <f>0.000033</f>
        <v>3.3000000000000003E-5</v>
      </c>
      <c r="E15" s="7">
        <f>0.000042</f>
        <v>4.1999999999999998E-5</v>
      </c>
      <c r="F15" s="7">
        <f>0.000034</f>
        <v>3.4E-5</v>
      </c>
      <c r="G15" s="7">
        <f>0.000042</f>
        <v>4.1999999999999998E-5</v>
      </c>
      <c r="I15" s="6"/>
      <c r="J15" s="10"/>
      <c r="K15" s="10"/>
      <c r="L15" s="10"/>
      <c r="M15" s="10"/>
      <c r="N15" s="10"/>
      <c r="O15" s="10"/>
      <c r="Q15" s="6"/>
      <c r="R15" s="11"/>
      <c r="S15" s="11"/>
      <c r="T15" s="11"/>
      <c r="U15" s="11"/>
      <c r="V15" s="11"/>
      <c r="W15" s="11"/>
    </row>
    <row r="16" spans="1:32" x14ac:dyDescent="0.2">
      <c r="A16" s="6"/>
      <c r="B16" s="7">
        <f>0.08865</f>
        <v>8.8650000000000007E-2</v>
      </c>
      <c r="C16" s="7">
        <f>0.000224</f>
        <v>2.24E-4</v>
      </c>
      <c r="D16" s="7">
        <f>0.007507</f>
        <v>7.5069999999999998E-3</v>
      </c>
      <c r="E16" s="7">
        <f>0.000043</f>
        <v>4.3000000000000002E-5</v>
      </c>
      <c r="F16" s="7">
        <f>0.000034</f>
        <v>3.4E-5</v>
      </c>
      <c r="G16" s="7">
        <f>0.00004</f>
        <v>4.0000000000000003E-5</v>
      </c>
      <c r="I16" s="6"/>
      <c r="J16" s="12"/>
      <c r="K16" s="12"/>
      <c r="L16" s="12"/>
      <c r="M16" s="12"/>
      <c r="N16" s="12"/>
      <c r="O16" s="12"/>
      <c r="Q16" s="6"/>
      <c r="R16" s="13"/>
      <c r="S16" s="13"/>
      <c r="T16" s="13"/>
      <c r="U16" s="13"/>
      <c r="V16" s="13"/>
      <c r="W16" s="13"/>
    </row>
    <row r="17" spans="1:23" x14ac:dyDescent="0.2">
      <c r="A17" s="6">
        <v>10000</v>
      </c>
      <c r="B17" s="14">
        <f>0.000168</f>
        <v>1.6799999999999999E-4</v>
      </c>
      <c r="C17" s="14">
        <f>0.000139</f>
        <v>1.3899999999999999E-4</v>
      </c>
      <c r="D17" s="14">
        <f>0.03384</f>
        <v>3.3840000000000002E-2</v>
      </c>
      <c r="E17" s="14">
        <f>0.000158</f>
        <v>1.5799999999999999E-4</v>
      </c>
      <c r="F17" s="14">
        <f>0.00014</f>
        <v>1.3999999999999999E-4</v>
      </c>
      <c r="G17" s="14">
        <f>0.000162</f>
        <v>1.6200000000000001E-4</v>
      </c>
      <c r="I17" s="6">
        <v>10000</v>
      </c>
      <c r="J17" s="8">
        <f t="shared" ref="J17" si="44">AVERAGE(B17:B19)</f>
        <v>4.2833333333333335E-4</v>
      </c>
      <c r="K17" s="8">
        <f t="shared" ref="K17" si="45">AVERAGE(C17:C19)</f>
        <v>1.3799999999999999E-4</v>
      </c>
      <c r="L17" s="8">
        <f t="shared" ref="L17" si="46">AVERAGE(D17:D19)</f>
        <v>2.7115E-2</v>
      </c>
      <c r="M17" s="8">
        <f t="shared" ref="M17" si="47">AVERAGE(E17:E19)</f>
        <v>1.6300000000000003E-4</v>
      </c>
      <c r="N17" s="8">
        <f t="shared" ref="N17" si="48">AVERAGE(F17:F19)</f>
        <v>1.4733333333333333E-4</v>
      </c>
      <c r="O17" s="8">
        <f t="shared" ref="O17" si="49">AVERAGE(G17:G19)</f>
        <v>1.65E-4</v>
      </c>
      <c r="Q17" s="6">
        <v>10000</v>
      </c>
      <c r="R17" s="9">
        <f t="shared" ref="R17" si="50">$Q17/J17/1000000</f>
        <v>23.346303501945524</v>
      </c>
      <c r="S17" s="9">
        <f t="shared" ref="S17" si="51">$Q17/K17/1000000</f>
        <v>72.463768115942031</v>
      </c>
      <c r="T17" s="9">
        <f t="shared" ref="T17" si="52">$Q17/L17/1000000</f>
        <v>0.36879955744053111</v>
      </c>
      <c r="U17" s="9">
        <f t="shared" ref="U17" si="53">$Q17/M17/1000000</f>
        <v>61.349693251533729</v>
      </c>
      <c r="V17" s="9">
        <f t="shared" ref="V17" si="54">$Q17/N17/1000000</f>
        <v>67.873303167420815</v>
      </c>
      <c r="W17" s="9">
        <f t="shared" ref="W17" si="55">$Q17/O17/1000000</f>
        <v>60.606060606060609</v>
      </c>
    </row>
    <row r="18" spans="1:23" x14ac:dyDescent="0.2">
      <c r="A18" s="6"/>
      <c r="B18" s="7">
        <f>0.000165</f>
        <v>1.65E-4</v>
      </c>
      <c r="C18" s="7">
        <f>0.00014</f>
        <v>1.3999999999999999E-4</v>
      </c>
      <c r="D18" s="7">
        <f>0.047339</f>
        <v>4.7338999999999999E-2</v>
      </c>
      <c r="E18" s="7">
        <f>0.000161</f>
        <v>1.6100000000000001E-4</v>
      </c>
      <c r="F18" s="7">
        <f>0.000149</f>
        <v>1.4899999999999999E-4</v>
      </c>
      <c r="G18" s="7">
        <f>0.000161</f>
        <v>1.6100000000000001E-4</v>
      </c>
      <c r="I18" s="6"/>
      <c r="J18" s="10"/>
      <c r="K18" s="10"/>
      <c r="L18" s="10"/>
      <c r="M18" s="10"/>
      <c r="N18" s="10"/>
      <c r="O18" s="10"/>
      <c r="Q18" s="6"/>
      <c r="R18" s="11"/>
      <c r="S18" s="11"/>
      <c r="T18" s="11"/>
      <c r="U18" s="11"/>
      <c r="V18" s="11"/>
      <c r="W18" s="11"/>
    </row>
    <row r="19" spans="1:23" x14ac:dyDescent="0.2">
      <c r="A19" s="6"/>
      <c r="B19" s="7">
        <f>0.000952</f>
        <v>9.5200000000000005E-4</v>
      </c>
      <c r="C19" s="7">
        <f>0.000135</f>
        <v>1.35E-4</v>
      </c>
      <c r="D19" s="7">
        <f>0.000166</f>
        <v>1.66E-4</v>
      </c>
      <c r="E19" s="7">
        <f>0.00017</f>
        <v>1.7000000000000001E-4</v>
      </c>
      <c r="F19" s="7">
        <f>0.000153</f>
        <v>1.5300000000000001E-4</v>
      </c>
      <c r="G19" s="7">
        <f>0.000172</f>
        <v>1.7200000000000001E-4</v>
      </c>
      <c r="I19" s="6"/>
      <c r="J19" s="12"/>
      <c r="K19" s="12"/>
      <c r="L19" s="12"/>
      <c r="M19" s="12"/>
      <c r="N19" s="12"/>
      <c r="O19" s="12"/>
      <c r="Q19" s="6"/>
      <c r="R19" s="13"/>
      <c r="S19" s="13"/>
      <c r="T19" s="13"/>
      <c r="U19" s="13"/>
      <c r="V19" s="13"/>
      <c r="W19" s="13"/>
    </row>
    <row r="20" spans="1:23" x14ac:dyDescent="0.2">
      <c r="A20" s="6">
        <v>100000</v>
      </c>
      <c r="B20" s="7">
        <f>0.003434</f>
        <v>3.434E-3</v>
      </c>
      <c r="C20" s="7">
        <f>0.000389</f>
        <v>3.8900000000000002E-4</v>
      </c>
      <c r="D20" s="7">
        <f>0.000244</f>
        <v>2.4399999999999999E-4</v>
      </c>
      <c r="E20" s="7">
        <f>0.000207</f>
        <v>2.0699999999999999E-4</v>
      </c>
      <c r="F20" s="7">
        <f>0.000222</f>
        <v>2.22E-4</v>
      </c>
      <c r="G20" s="7">
        <f>0.000227</f>
        <v>2.2699999999999999E-4</v>
      </c>
      <c r="I20" s="6">
        <v>100000</v>
      </c>
      <c r="J20" s="8">
        <f t="shared" ref="J20" si="56">AVERAGE(B20:B22)</f>
        <v>1.6062999999999997E-2</v>
      </c>
      <c r="K20" s="8">
        <f t="shared" ref="K20" si="57">AVERAGE(C20:C22)</f>
        <v>1.3656666666666667E-3</v>
      </c>
      <c r="L20" s="8">
        <f t="shared" ref="L20" si="58">AVERAGE(D20:D22)</f>
        <v>2.0333333333333333E-4</v>
      </c>
      <c r="M20" s="8">
        <f t="shared" ref="M20" si="59">AVERAGE(E20:E22)</f>
        <v>1.0563333333333334E-3</v>
      </c>
      <c r="N20" s="8">
        <f t="shared" ref="N20" si="60">AVERAGE(F20:F22)</f>
        <v>1.2836666666666667E-3</v>
      </c>
      <c r="O20" s="8">
        <f t="shared" ref="O20" si="61">AVERAGE(G20:G22)</f>
        <v>2.0100000000000001E-4</v>
      </c>
      <c r="Q20" s="6">
        <v>100000</v>
      </c>
      <c r="R20" s="9">
        <f t="shared" ref="R20" si="62">$Q20/J20/1000000</f>
        <v>6.2254871443690485</v>
      </c>
      <c r="S20" s="9">
        <f t="shared" ref="S20" si="63">$Q20/K20/1000000</f>
        <v>73.224310471076393</v>
      </c>
      <c r="T20" s="9">
        <f t="shared" ref="T20" si="64">$Q20/L20/1000000</f>
        <v>491.80327868852459</v>
      </c>
      <c r="U20" s="9">
        <f t="shared" ref="U20" si="65">$Q20/M20/1000000</f>
        <v>94.667087409277372</v>
      </c>
      <c r="V20" s="9">
        <f t="shared" ref="V20" si="66">$Q20/N20/1000000</f>
        <v>77.901843676967019</v>
      </c>
      <c r="W20" s="9">
        <f t="shared" ref="W20" si="67">$Q20/O20/1000000</f>
        <v>497.5124378109453</v>
      </c>
    </row>
    <row r="21" spans="1:23" x14ac:dyDescent="0.2">
      <c r="A21" s="6"/>
      <c r="B21" s="7">
        <f>0.000157</f>
        <v>1.5699999999999999E-4</v>
      </c>
      <c r="C21" s="7">
        <f>0.000306</f>
        <v>3.0600000000000001E-4</v>
      </c>
      <c r="D21" s="7">
        <f>0.000184</f>
        <v>1.84E-4</v>
      </c>
      <c r="E21" s="7">
        <f>0.002787</f>
        <v>2.787E-3</v>
      </c>
      <c r="F21" s="7">
        <f>0.00017</f>
        <v>1.7000000000000001E-4</v>
      </c>
      <c r="G21" s="7">
        <f>0.000186</f>
        <v>1.8599999999999999E-4</v>
      </c>
      <c r="I21" s="6"/>
      <c r="J21" s="10"/>
      <c r="K21" s="10"/>
      <c r="L21" s="10"/>
      <c r="M21" s="10"/>
      <c r="N21" s="10"/>
      <c r="O21" s="10"/>
      <c r="Q21" s="6"/>
      <c r="R21" s="11"/>
      <c r="S21" s="11"/>
      <c r="T21" s="11"/>
      <c r="U21" s="11"/>
      <c r="V21" s="11"/>
      <c r="W21" s="11"/>
    </row>
    <row r="22" spans="1:23" x14ac:dyDescent="0.2">
      <c r="A22" s="6"/>
      <c r="B22" s="7">
        <f>0.044598</f>
        <v>4.4597999999999999E-2</v>
      </c>
      <c r="C22" s="7">
        <f>0.003402</f>
        <v>3.4020000000000001E-3</v>
      </c>
      <c r="D22" s="7">
        <f>0.000182</f>
        <v>1.8200000000000001E-4</v>
      </c>
      <c r="E22" s="7">
        <f>0.000175</f>
        <v>1.75E-4</v>
      </c>
      <c r="F22" s="7">
        <f>0.003459</f>
        <v>3.4589999999999998E-3</v>
      </c>
      <c r="G22" s="7">
        <f>0.00019</f>
        <v>1.9000000000000001E-4</v>
      </c>
      <c r="I22" s="6"/>
      <c r="J22" s="12"/>
      <c r="K22" s="12"/>
      <c r="L22" s="12"/>
      <c r="M22" s="12"/>
      <c r="N22" s="12"/>
      <c r="O22" s="12"/>
      <c r="Q22" s="6"/>
      <c r="R22" s="13"/>
      <c r="S22" s="13"/>
      <c r="T22" s="13"/>
      <c r="U22" s="13"/>
      <c r="V22" s="13"/>
      <c r="W22" s="13"/>
    </row>
    <row r="23" spans="1:23" x14ac:dyDescent="0.2">
      <c r="A23" s="6">
        <v>1000000</v>
      </c>
      <c r="B23" s="7">
        <v>1.222E-3</v>
      </c>
      <c r="C23" s="7">
        <f>0.001071</f>
        <v>1.0709999999999999E-3</v>
      </c>
      <c r="D23" s="7">
        <f>0.001059</f>
        <v>1.059E-3</v>
      </c>
      <c r="E23" s="7">
        <f>0.042618</f>
        <v>4.2618000000000003E-2</v>
      </c>
      <c r="F23" s="7">
        <f>0.001105</f>
        <v>1.1050000000000001E-3</v>
      </c>
      <c r="G23" s="7">
        <f>0.00118</f>
        <v>1.1800000000000001E-3</v>
      </c>
      <c r="I23" s="6">
        <v>1000000</v>
      </c>
      <c r="J23" s="8">
        <f t="shared" ref="J23" si="68">AVERAGE(B23:B25)</f>
        <v>1.2786666666666667E-3</v>
      </c>
      <c r="K23" s="8">
        <f t="shared" ref="K23" si="69">AVERAGE(C23:C25)</f>
        <v>1.1460000000000001E-3</v>
      </c>
      <c r="L23" s="8">
        <f t="shared" ref="L23" si="70">AVERAGE(D23:D25)</f>
        <v>1.1523333333333333E-3</v>
      </c>
      <c r="M23" s="8">
        <f t="shared" ref="M23" si="71">AVERAGE(E23:E25)</f>
        <v>1.5186E-2</v>
      </c>
      <c r="N23" s="8">
        <f t="shared" ref="N23" si="72">AVERAGE(F23:F25)</f>
        <v>1.1803333333333334E-3</v>
      </c>
      <c r="O23" s="8">
        <f t="shared" ref="O23" si="73">AVERAGE(G23:G25)</f>
        <v>1.3276666666666669E-3</v>
      </c>
      <c r="Q23" s="6">
        <v>1000000</v>
      </c>
      <c r="R23" s="9">
        <f t="shared" ref="R23" si="74">$Q23/J23/1000000</f>
        <v>782.06465067778936</v>
      </c>
      <c r="S23" s="9">
        <f t="shared" ref="S23" si="75">$Q23/K23/1000000</f>
        <v>872.60034904013958</v>
      </c>
      <c r="T23" s="9">
        <f t="shared" ref="T23" si="76">$Q23/L23/1000000</f>
        <v>867.80445472953431</v>
      </c>
      <c r="U23" s="9">
        <f t="shared" ref="U23" si="77">$Q23/M23/1000000</f>
        <v>65.850125115237716</v>
      </c>
      <c r="V23" s="9">
        <f t="shared" ref="V23" si="78">$Q23/N23/1000000</f>
        <v>847.21829991527818</v>
      </c>
      <c r="W23" s="9">
        <f t="shared" ref="W23" si="79">$Q23/O23/1000000</f>
        <v>753.20110469495341</v>
      </c>
    </row>
    <row r="24" spans="1:23" x14ac:dyDescent="0.2">
      <c r="A24" s="6"/>
      <c r="B24" s="7">
        <f>0.00132</f>
        <v>1.32E-3</v>
      </c>
      <c r="C24" s="7">
        <f>0.001209</f>
        <v>1.209E-3</v>
      </c>
      <c r="D24" s="7">
        <f>0.001216</f>
        <v>1.2160000000000001E-3</v>
      </c>
      <c r="E24" s="7">
        <f>0.001476</f>
        <v>1.4760000000000001E-3</v>
      </c>
      <c r="F24" s="7">
        <f>0.001227</f>
        <v>1.227E-3</v>
      </c>
      <c r="G24" s="7">
        <f>0.001415</f>
        <v>1.415E-3</v>
      </c>
      <c r="I24" s="6"/>
      <c r="J24" s="10"/>
      <c r="K24" s="10"/>
      <c r="L24" s="10"/>
      <c r="M24" s="10"/>
      <c r="N24" s="10"/>
      <c r="O24" s="10"/>
      <c r="Q24" s="6"/>
      <c r="R24" s="11"/>
      <c r="S24" s="11"/>
      <c r="T24" s="11"/>
      <c r="U24" s="11"/>
      <c r="V24" s="11"/>
      <c r="W24" s="11"/>
    </row>
    <row r="25" spans="1:23" x14ac:dyDescent="0.2">
      <c r="A25" s="6"/>
      <c r="B25" s="7">
        <f xml:space="preserve"> 0.001294</f>
        <v>1.294E-3</v>
      </c>
      <c r="C25" s="7">
        <f>0.001158</f>
        <v>1.158E-3</v>
      </c>
      <c r="D25" s="7">
        <f>0.001182</f>
        <v>1.1820000000000001E-3</v>
      </c>
      <c r="E25" s="7">
        <f>0.001464</f>
        <v>1.464E-3</v>
      </c>
      <c r="F25" s="7">
        <f>0.001209</f>
        <v>1.209E-3</v>
      </c>
      <c r="G25" s="7">
        <f>0.001388</f>
        <v>1.3879999999999999E-3</v>
      </c>
      <c r="I25" s="6"/>
      <c r="J25" s="12"/>
      <c r="K25" s="12"/>
      <c r="L25" s="12"/>
      <c r="M25" s="12"/>
      <c r="N25" s="12"/>
      <c r="O25" s="12"/>
      <c r="Q25" s="6"/>
      <c r="R25" s="13"/>
      <c r="S25" s="13"/>
      <c r="T25" s="13"/>
      <c r="U25" s="13"/>
      <c r="V25" s="13"/>
      <c r="W25" s="13"/>
    </row>
    <row r="26" spans="1:23" x14ac:dyDescent="0.2">
      <c r="A26" s="6">
        <v>10000000</v>
      </c>
      <c r="B26" s="7">
        <f>0.18977</f>
        <v>0.18976999999999999</v>
      </c>
      <c r="C26" s="7">
        <f>0.010275</f>
        <v>1.0274999999999999E-2</v>
      </c>
      <c r="D26" s="7">
        <f>0.094923</f>
        <v>9.4922999999999993E-2</v>
      </c>
      <c r="E26" s="7">
        <f>0.103617</f>
        <v>0.103617</v>
      </c>
      <c r="F26" s="7">
        <f>0.100486</f>
        <v>0.10048600000000001</v>
      </c>
      <c r="G26" s="7">
        <f>0.193524</f>
        <v>0.193524</v>
      </c>
      <c r="I26" s="6">
        <v>10000000</v>
      </c>
      <c r="J26" s="8">
        <f t="shared" ref="J26" si="80">AVERAGE(B26:B28)</f>
        <v>0.16772100000000001</v>
      </c>
      <c r="K26" s="8">
        <f t="shared" ref="K26" si="81">AVERAGE(C26:C28)</f>
        <v>6.8446333333333331E-2</v>
      </c>
      <c r="L26" s="8">
        <f t="shared" ref="L26" si="82">AVERAGE(D26:D28)</f>
        <v>0.13153600000000001</v>
      </c>
      <c r="M26" s="8">
        <f t="shared" ref="M26" si="83">AVERAGE(E26:E28)</f>
        <v>0.13348166666666669</v>
      </c>
      <c r="N26" s="8">
        <f t="shared" ref="N26" si="84">AVERAGE(F26:F28)</f>
        <v>0.10085266666666666</v>
      </c>
      <c r="O26" s="8">
        <f t="shared" ref="O26" si="85">AVERAGE(G26:G28)</f>
        <v>0.13333400000000001</v>
      </c>
      <c r="Q26" s="6">
        <v>10000000</v>
      </c>
      <c r="R26" s="9">
        <f t="shared" ref="R26" si="86">$Q26/J26/1000000</f>
        <v>59.622826002706873</v>
      </c>
      <c r="S26" s="9">
        <f t="shared" ref="S26" si="87">$Q26/K26/1000000</f>
        <v>146.09986412712635</v>
      </c>
      <c r="T26" s="9">
        <f t="shared" ref="T26" si="88">$Q26/L26/1000000</f>
        <v>76.024814499452603</v>
      </c>
      <c r="U26" s="9">
        <f t="shared" ref="U26" si="89">$Q26/M26/1000000</f>
        <v>74.916655221066549</v>
      </c>
      <c r="V26" s="9">
        <f t="shared" ref="V26" si="90">$Q26/N26/1000000</f>
        <v>99.154542269581384</v>
      </c>
      <c r="W26" s="9">
        <f t="shared" ref="W26" si="91">$Q26/O26/1000000</f>
        <v>74.999625001874989</v>
      </c>
    </row>
    <row r="27" spans="1:23" x14ac:dyDescent="0.2">
      <c r="A27" s="6"/>
      <c r="B27" s="7">
        <f>0.116997</f>
        <v>0.116997</v>
      </c>
      <c r="C27" s="7">
        <f>0.093647</f>
        <v>9.3646999999999994E-2</v>
      </c>
      <c r="D27" s="7">
        <f>0.099266</f>
        <v>9.9265999999999993E-2</v>
      </c>
      <c r="E27" s="7">
        <f>0.103271</f>
        <v>0.103271</v>
      </c>
      <c r="F27" s="7">
        <f>0.099617</f>
        <v>9.9616999999999997E-2</v>
      </c>
      <c r="G27" s="7">
        <f>0.101357</f>
        <v>0.101357</v>
      </c>
      <c r="I27" s="6"/>
      <c r="J27" s="10"/>
      <c r="K27" s="10"/>
      <c r="L27" s="10"/>
      <c r="M27" s="10"/>
      <c r="N27" s="10"/>
      <c r="O27" s="10"/>
      <c r="Q27" s="6"/>
      <c r="R27" s="11"/>
      <c r="S27" s="11"/>
      <c r="T27" s="11"/>
      <c r="U27" s="11"/>
      <c r="V27" s="11"/>
      <c r="W27" s="11"/>
    </row>
    <row r="28" spans="1:23" x14ac:dyDescent="0.2">
      <c r="A28" s="6"/>
      <c r="B28" s="7">
        <f>0.196396</f>
        <v>0.19639599999999999</v>
      </c>
      <c r="C28" s="7">
        <f>0.101417</f>
        <v>0.10141699999999999</v>
      </c>
      <c r="D28" s="7">
        <f>0.200419</f>
        <v>0.20041900000000001</v>
      </c>
      <c r="E28" s="7">
        <f>0.193557</f>
        <v>0.19355700000000001</v>
      </c>
      <c r="F28" s="7">
        <f>0.102455</f>
        <v>0.102455</v>
      </c>
      <c r="G28" s="7">
        <f>0.105121</f>
        <v>0.10512100000000001</v>
      </c>
      <c r="I28" s="6"/>
      <c r="J28" s="12"/>
      <c r="K28" s="12"/>
      <c r="L28" s="12"/>
      <c r="M28" s="12"/>
      <c r="N28" s="12"/>
      <c r="O28" s="12"/>
      <c r="Q28" s="6"/>
      <c r="R28" s="13"/>
      <c r="S28" s="13"/>
      <c r="T28" s="13"/>
      <c r="U28" s="13"/>
      <c r="V28" s="13"/>
      <c r="W28" s="13"/>
    </row>
    <row r="29" spans="1:23" x14ac:dyDescent="0.2">
      <c r="A29" s="6">
        <v>100000000</v>
      </c>
      <c r="B29" s="7">
        <f>2.287473</f>
        <v>2.2874729999999999</v>
      </c>
      <c r="C29" s="7">
        <f>1.906294</f>
        <v>1.9062939999999999</v>
      </c>
      <c r="D29" s="7">
        <f>1.596156</f>
        <v>1.5961559999999999</v>
      </c>
      <c r="E29" s="7">
        <f>2.199299</f>
        <v>2.1992989999999999</v>
      </c>
      <c r="F29" s="7">
        <f>1.403229</f>
        <v>1.4032290000000001</v>
      </c>
      <c r="G29" s="7">
        <f>2.000104</f>
        <v>2.0001039999999999</v>
      </c>
      <c r="I29" s="6">
        <v>100000000</v>
      </c>
      <c r="J29" s="8">
        <f t="shared" ref="J29" si="92">AVERAGE(B29:B31)</f>
        <v>2.0277759999999998</v>
      </c>
      <c r="K29" s="8">
        <f t="shared" ref="K29" si="93">AVERAGE(C29:C31)</f>
        <v>1.9029976666666666</v>
      </c>
      <c r="L29" s="8">
        <f t="shared" ref="L29" si="94">AVERAGE(D29:D31)</f>
        <v>1.8649769999999999</v>
      </c>
      <c r="M29" s="8">
        <f t="shared" ref="M29" si="95">AVERAGE(E29:E31)</f>
        <v>2.2996226666666666</v>
      </c>
      <c r="N29" s="8">
        <f t="shared" ref="N29" si="96">AVERAGE(F29:F31)</f>
        <v>1.7025643333333331</v>
      </c>
      <c r="O29" s="8">
        <f t="shared" ref="O29" si="97">AVERAGE(G29:G31)</f>
        <v>2.1996009999999999</v>
      </c>
      <c r="Q29" s="6">
        <v>100000000</v>
      </c>
      <c r="R29" s="9">
        <f t="shared" ref="R29" si="98">$Q29/J29/1000000</f>
        <v>49.315111728317135</v>
      </c>
      <c r="S29" s="9">
        <f t="shared" ref="S29" si="99">$Q29/K29/1000000</f>
        <v>52.548671893624679</v>
      </c>
      <c r="T29" s="9">
        <f t="shared" ref="T29" si="100">$Q29/L29/1000000</f>
        <v>53.619964214035882</v>
      </c>
      <c r="U29" s="9">
        <f t="shared" ref="U29" si="101">$Q29/M29/1000000</f>
        <v>43.485394995236902</v>
      </c>
      <c r="V29" s="9">
        <f t="shared" ref="V29" si="102">$Q29/N29/1000000</f>
        <v>58.734931797976124</v>
      </c>
      <c r="W29" s="9">
        <f t="shared" ref="W29" si="103">$Q29/O29/1000000</f>
        <v>45.462790751595406</v>
      </c>
    </row>
    <row r="30" spans="1:23" x14ac:dyDescent="0.2">
      <c r="A30" s="6"/>
      <c r="B30" s="7">
        <f>1.597225</f>
        <v>1.5972249999999999</v>
      </c>
      <c r="C30" s="7">
        <f>1.701684</f>
        <v>1.701684</v>
      </c>
      <c r="D30" s="7">
        <f>1.597434</f>
        <v>1.597434</v>
      </c>
      <c r="E30" s="7">
        <f>2.397482</f>
        <v>2.3974820000000001</v>
      </c>
      <c r="F30" s="7">
        <f>1.604382</f>
        <v>1.604382</v>
      </c>
      <c r="G30" s="7">
        <f>2.302202</f>
        <v>2.3022019999999999</v>
      </c>
      <c r="I30" s="6"/>
      <c r="J30" s="10"/>
      <c r="K30" s="10"/>
      <c r="L30" s="10"/>
      <c r="M30" s="10"/>
      <c r="N30" s="10"/>
      <c r="O30" s="10"/>
      <c r="Q30" s="6"/>
      <c r="R30" s="11"/>
      <c r="S30" s="11"/>
      <c r="T30" s="11"/>
      <c r="U30" s="11"/>
      <c r="V30" s="11"/>
      <c r="W30" s="11"/>
    </row>
    <row r="31" spans="1:23" x14ac:dyDescent="0.2">
      <c r="A31" s="6"/>
      <c r="B31" s="7">
        <f>2.19863</f>
        <v>2.1986300000000001</v>
      </c>
      <c r="C31" s="7">
        <f>2.101015</f>
        <v>2.1010149999999999</v>
      </c>
      <c r="D31" s="7">
        <f>2.401341</f>
        <v>2.4013409999999999</v>
      </c>
      <c r="E31" s="7">
        <f>2.302087</f>
        <v>2.3020870000000002</v>
      </c>
      <c r="F31" s="7">
        <f>2.100082</f>
        <v>2.100082</v>
      </c>
      <c r="G31" s="7">
        <f>2.296497</f>
        <v>2.296497</v>
      </c>
      <c r="I31" s="6"/>
      <c r="J31" s="12"/>
      <c r="K31" s="12"/>
      <c r="L31" s="12"/>
      <c r="M31" s="12"/>
      <c r="N31" s="12"/>
      <c r="O31" s="12"/>
      <c r="Q31" s="6"/>
      <c r="R31" s="13"/>
      <c r="S31" s="13"/>
      <c r="T31" s="13"/>
      <c r="U31" s="13"/>
      <c r="V31" s="13"/>
      <c r="W31" s="13"/>
    </row>
    <row r="35" spans="1:32" x14ac:dyDescent="0.2">
      <c r="A35" s="1" t="s">
        <v>3</v>
      </c>
      <c r="B35" s="2" t="s">
        <v>4</v>
      </c>
      <c r="C35" s="2"/>
      <c r="D35" s="2"/>
      <c r="E35" s="2"/>
      <c r="F35" s="2"/>
      <c r="G35" s="2"/>
      <c r="I35" s="1" t="s">
        <v>3</v>
      </c>
      <c r="J35" s="2" t="s">
        <v>7</v>
      </c>
      <c r="K35" s="2"/>
      <c r="L35" s="2"/>
      <c r="M35" s="2"/>
      <c r="N35" s="2"/>
      <c r="O35" s="2"/>
      <c r="Q35" s="1" t="s">
        <v>3</v>
      </c>
      <c r="R35" s="2" t="s">
        <v>9</v>
      </c>
      <c r="S35" s="2"/>
      <c r="T35" s="2"/>
      <c r="U35" s="2"/>
      <c r="V35" s="2"/>
      <c r="W35" s="2"/>
    </row>
    <row r="36" spans="1:32" x14ac:dyDescent="0.2">
      <c r="A36" s="1" t="s">
        <v>2</v>
      </c>
      <c r="B36" s="2">
        <v>2</v>
      </c>
      <c r="C36" s="2">
        <v>4</v>
      </c>
      <c r="D36" s="2">
        <v>8</v>
      </c>
      <c r="E36" s="2">
        <v>16</v>
      </c>
      <c r="F36" s="2">
        <v>32</v>
      </c>
      <c r="G36" s="2">
        <v>56</v>
      </c>
      <c r="I36" s="4" t="s">
        <v>5</v>
      </c>
      <c r="J36" s="2">
        <v>2</v>
      </c>
      <c r="K36" s="2">
        <v>4</v>
      </c>
      <c r="L36" s="2">
        <v>8</v>
      </c>
      <c r="M36" s="2">
        <v>16</v>
      </c>
      <c r="N36" s="2">
        <v>32</v>
      </c>
      <c r="O36" s="2">
        <v>56</v>
      </c>
      <c r="Q36" s="4" t="s">
        <v>5</v>
      </c>
      <c r="R36" s="2">
        <v>2</v>
      </c>
      <c r="S36" s="2">
        <v>4</v>
      </c>
      <c r="T36" s="2">
        <v>8</v>
      </c>
      <c r="U36" s="2">
        <v>16</v>
      </c>
      <c r="V36" s="2">
        <v>32</v>
      </c>
      <c r="W36" s="2">
        <v>56</v>
      </c>
    </row>
    <row r="37" spans="1:32" x14ac:dyDescent="0.2">
      <c r="A37" s="1" t="s">
        <v>0</v>
      </c>
      <c r="B37" s="2"/>
      <c r="C37" s="2"/>
      <c r="D37" s="2"/>
      <c r="E37" s="2"/>
      <c r="F37" s="2"/>
      <c r="G37" s="2"/>
      <c r="I37" s="5"/>
      <c r="J37" s="2"/>
      <c r="K37" s="2"/>
      <c r="L37" s="2"/>
      <c r="M37" s="2"/>
      <c r="N37" s="2"/>
      <c r="O37" s="2"/>
      <c r="Q37" s="5"/>
      <c r="R37" s="2"/>
      <c r="S37" s="2"/>
      <c r="T37" s="2"/>
      <c r="U37" s="2"/>
      <c r="V37" s="2"/>
      <c r="W37" s="2"/>
      <c r="Y37" s="24"/>
      <c r="Z37" s="24"/>
      <c r="AA37" s="31">
        <v>2</v>
      </c>
      <c r="AB37" s="31">
        <v>4</v>
      </c>
      <c r="AC37" s="31">
        <v>8</v>
      </c>
      <c r="AD37" s="31">
        <v>16</v>
      </c>
      <c r="AE37" s="31">
        <v>32</v>
      </c>
      <c r="AF37" s="31">
        <v>56</v>
      </c>
    </row>
    <row r="38" spans="1:32" x14ac:dyDescent="0.2">
      <c r="A38" s="6">
        <v>1</v>
      </c>
      <c r="B38" s="7">
        <f>0.000033</f>
        <v>3.3000000000000003E-5</v>
      </c>
      <c r="C38" s="7">
        <f>0.000005</f>
        <v>5.0000000000000004E-6</v>
      </c>
      <c r="D38" s="7">
        <f>0.000005</f>
        <v>5.0000000000000004E-6</v>
      </c>
      <c r="E38" s="7">
        <f>0.000007</f>
        <v>6.9999999999999999E-6</v>
      </c>
      <c r="F38" s="7">
        <f>0.000006</f>
        <v>6.0000000000000002E-6</v>
      </c>
      <c r="G38" s="7">
        <f>0.000005</f>
        <v>5.0000000000000004E-6</v>
      </c>
      <c r="I38" s="6">
        <v>1</v>
      </c>
      <c r="J38" s="8">
        <f>AVERAGE(B38:B40)</f>
        <v>3.8999999999999999E-5</v>
      </c>
      <c r="K38" s="8">
        <f t="shared" ref="K38:O38" si="104">AVERAGE(C38:C40)</f>
        <v>5.6666666666666669E-6</v>
      </c>
      <c r="L38" s="8">
        <f t="shared" si="104"/>
        <v>6.6666666666666658E-6</v>
      </c>
      <c r="M38" s="8">
        <f t="shared" si="104"/>
        <v>5.3333333333333328E-6</v>
      </c>
      <c r="N38" s="8">
        <f t="shared" si="104"/>
        <v>5.3333333333333328E-6</v>
      </c>
      <c r="O38" s="8">
        <f t="shared" si="104"/>
        <v>5.0000000000000004E-6</v>
      </c>
      <c r="Q38" s="6">
        <v>1</v>
      </c>
      <c r="R38" s="9">
        <f>$Q38/J38/1000000</f>
        <v>2.564102564102564E-2</v>
      </c>
      <c r="S38" s="9">
        <f t="shared" ref="S38:W38" si="105">$Q38/K38/1000000</f>
        <v>0.1764705882352941</v>
      </c>
      <c r="T38" s="9">
        <f t="shared" si="105"/>
        <v>0.15000000000000002</v>
      </c>
      <c r="U38" s="9">
        <f t="shared" si="105"/>
        <v>0.18750000000000003</v>
      </c>
      <c r="V38" s="9">
        <f t="shared" si="105"/>
        <v>0.18750000000000003</v>
      </c>
      <c r="W38" s="9">
        <f t="shared" si="105"/>
        <v>0.19999999999999998</v>
      </c>
      <c r="Y38" s="31">
        <v>1</v>
      </c>
      <c r="Z38" s="31" t="s">
        <v>20</v>
      </c>
      <c r="AA38" s="24">
        <f ca="1">INDIRECT("J"&amp;(38 + (Y38 - 1) * 3))</f>
        <v>3.8999999999999999E-5</v>
      </c>
      <c r="AB38" s="24">
        <f ca="1">INDIRECT("K"&amp;(38 + ($Y38 - 1) * 3))</f>
        <v>5.6666666666666669E-6</v>
      </c>
      <c r="AC38" s="24">
        <f ca="1">INDIRECT("L"&amp;(38 + ($Y38 - 1) * 3))</f>
        <v>6.6666666666666658E-6</v>
      </c>
      <c r="AD38" s="24">
        <f ca="1">INDIRECT("M"&amp;(38 + ($Y38 - 1) * 3))</f>
        <v>5.3333333333333328E-6</v>
      </c>
      <c r="AE38" s="24">
        <f ca="1">INDIRECT("N"&amp;(38 + ($Y38 - 1) * 3))</f>
        <v>5.3333333333333328E-6</v>
      </c>
      <c r="AF38" s="24">
        <f ca="1">INDIRECT("O"&amp;(38 + ($Y38 - 1) * 3))</f>
        <v>5.0000000000000004E-6</v>
      </c>
    </row>
    <row r="39" spans="1:32" x14ac:dyDescent="0.2">
      <c r="A39" s="6"/>
      <c r="B39" s="7">
        <f>0.000029</f>
        <v>2.9E-5</v>
      </c>
      <c r="C39" s="7">
        <f>0.000006</f>
        <v>6.0000000000000002E-6</v>
      </c>
      <c r="D39" s="7">
        <f>0.000006</f>
        <v>6.0000000000000002E-6</v>
      </c>
      <c r="E39" s="7">
        <f>0.000005</f>
        <v>5.0000000000000004E-6</v>
      </c>
      <c r="F39" s="7">
        <f>0.000005</f>
        <v>5.0000000000000004E-6</v>
      </c>
      <c r="G39" s="7">
        <f>0.000005</f>
        <v>5.0000000000000004E-6</v>
      </c>
      <c r="I39" s="6"/>
      <c r="J39" s="15"/>
      <c r="K39" s="15"/>
      <c r="L39" s="15"/>
      <c r="M39" s="15"/>
      <c r="N39" s="15"/>
      <c r="O39" s="15"/>
      <c r="Q39" s="6"/>
      <c r="R39" s="11"/>
      <c r="S39" s="11"/>
      <c r="T39" s="11"/>
      <c r="U39" s="11"/>
      <c r="V39" s="11"/>
      <c r="W39" s="11"/>
      <c r="Y39" s="31">
        <v>2</v>
      </c>
      <c r="Z39" s="31" t="s">
        <v>21</v>
      </c>
      <c r="AA39" s="24">
        <f t="shared" ref="AA39:AA46" ca="1" si="106">INDIRECT("J"&amp;(38 + (Y39 - 1) * 3))</f>
        <v>3.3333333333333328E-5</v>
      </c>
      <c r="AB39" s="24">
        <f t="shared" ref="AB39:AB46" ca="1" si="107">INDIRECT("K"&amp;(38 + ($Y39 - 1) * 3))</f>
        <v>4.3333333333333331E-6</v>
      </c>
      <c r="AC39" s="24">
        <f t="shared" ref="AC39:AC46" ca="1" si="108">INDIRECT("L"&amp;(38 + ($Y39 - 1) * 3))</f>
        <v>6.3333333333333334E-6</v>
      </c>
      <c r="AD39" s="24">
        <f t="shared" ref="AD39:AD46" ca="1" si="109">INDIRECT("M"&amp;(38 + ($Y39 - 1) * 3))</f>
        <v>4.9999999999999996E-6</v>
      </c>
      <c r="AE39" s="24">
        <f t="shared" ref="AE39:AE46" ca="1" si="110">INDIRECT("N"&amp;(38 + ($Y39 - 1) * 3))</f>
        <v>5.6666666666666669E-6</v>
      </c>
      <c r="AF39" s="24">
        <f t="shared" ref="AF39:AF46" ca="1" si="111">INDIRECT("O"&amp;(38 + ($Y39 - 1) * 3))</f>
        <v>7.3333333333333331E-6</v>
      </c>
    </row>
    <row r="40" spans="1:32" x14ac:dyDescent="0.2">
      <c r="A40" s="6"/>
      <c r="B40" s="7">
        <f>0.000055</f>
        <v>5.5000000000000002E-5</v>
      </c>
      <c r="C40" s="7">
        <f>0.000006</f>
        <v>6.0000000000000002E-6</v>
      </c>
      <c r="D40" s="7">
        <f>0.000009</f>
        <v>9.0000000000000002E-6</v>
      </c>
      <c r="E40" s="7">
        <f>0.000004</f>
        <v>3.9999999999999998E-6</v>
      </c>
      <c r="F40" s="7">
        <f>0.000005</f>
        <v>5.0000000000000004E-6</v>
      </c>
      <c r="G40" s="7">
        <f>0.000005</f>
        <v>5.0000000000000004E-6</v>
      </c>
      <c r="I40" s="6"/>
      <c r="J40" s="16"/>
      <c r="K40" s="16"/>
      <c r="L40" s="16"/>
      <c r="M40" s="16"/>
      <c r="N40" s="16"/>
      <c r="O40" s="16"/>
      <c r="Q40" s="6"/>
      <c r="R40" s="13"/>
      <c r="S40" s="13"/>
      <c r="T40" s="13"/>
      <c r="U40" s="13"/>
      <c r="V40" s="13"/>
      <c r="W40" s="13"/>
      <c r="Y40" s="31">
        <v>3</v>
      </c>
      <c r="Z40" s="31" t="s">
        <v>22</v>
      </c>
      <c r="AA40" s="24">
        <f t="shared" ca="1" si="106"/>
        <v>2.8666666666666668E-5</v>
      </c>
      <c r="AB40" s="24">
        <f t="shared" ca="1" si="107"/>
        <v>3.9999999999999998E-6</v>
      </c>
      <c r="AC40" s="24">
        <f t="shared" ca="1" si="108"/>
        <v>2.6666666666666664E-6</v>
      </c>
      <c r="AD40" s="24">
        <f t="shared" ca="1" si="109"/>
        <v>4.6666666666666663E-6</v>
      </c>
      <c r="AE40" s="24">
        <f t="shared" ca="1" si="110"/>
        <v>5.0000000000000004E-6</v>
      </c>
      <c r="AF40" s="24">
        <f t="shared" ca="1" si="111"/>
        <v>5.6666666666666669E-6</v>
      </c>
    </row>
    <row r="41" spans="1:32" x14ac:dyDescent="0.2">
      <c r="A41" s="6">
        <v>10</v>
      </c>
      <c r="B41" s="7">
        <f>0.000042</f>
        <v>4.1999999999999998E-5</v>
      </c>
      <c r="C41" s="7">
        <f>0.000007</f>
        <v>6.9999999999999999E-6</v>
      </c>
      <c r="D41" s="7">
        <f>0.000006</f>
        <v>6.0000000000000002E-6</v>
      </c>
      <c r="E41" s="7">
        <f>0.000007</f>
        <v>6.9999999999999999E-6</v>
      </c>
      <c r="F41" s="7">
        <f>0.000007</f>
        <v>6.9999999999999999E-6</v>
      </c>
      <c r="G41" s="7">
        <f>0.000008</f>
        <v>7.9999999999999996E-6</v>
      </c>
      <c r="I41" s="6">
        <v>10</v>
      </c>
      <c r="J41" s="8">
        <f t="shared" ref="J41" si="112">AVERAGE(B41:B43)</f>
        <v>3.3333333333333328E-5</v>
      </c>
      <c r="K41" s="8">
        <f t="shared" ref="K41" si="113">AVERAGE(C41:C43)</f>
        <v>4.3333333333333331E-6</v>
      </c>
      <c r="L41" s="8">
        <f t="shared" ref="L41" si="114">AVERAGE(D41:D43)</f>
        <v>6.3333333333333334E-6</v>
      </c>
      <c r="M41" s="8">
        <f t="shared" ref="M41" si="115">AVERAGE(E41:E43)</f>
        <v>4.9999999999999996E-6</v>
      </c>
      <c r="N41" s="8">
        <f t="shared" ref="N41" si="116">AVERAGE(F41:F43)</f>
        <v>5.6666666666666669E-6</v>
      </c>
      <c r="O41" s="8">
        <f t="shared" ref="O41" si="117">AVERAGE(G41:G43)</f>
        <v>7.3333333333333331E-6</v>
      </c>
      <c r="Q41" s="6">
        <v>10</v>
      </c>
      <c r="R41" s="9">
        <f t="shared" ref="R41" si="118">$Q41/J41/1000000</f>
        <v>0.30000000000000004</v>
      </c>
      <c r="S41" s="9">
        <f t="shared" ref="S41" si="119">$Q41/K41/1000000</f>
        <v>2.3076923076923079</v>
      </c>
      <c r="T41" s="9">
        <f t="shared" ref="T41" si="120">$Q41/L41/1000000</f>
        <v>1.5789473684210527</v>
      </c>
      <c r="U41" s="9">
        <f t="shared" ref="U41" si="121">$Q41/M41/1000000</f>
        <v>2.0000000000000004</v>
      </c>
      <c r="V41" s="9">
        <f t="shared" ref="V41" si="122">$Q41/N41/1000000</f>
        <v>1.7647058823529411</v>
      </c>
      <c r="W41" s="9">
        <f t="shared" ref="W41" si="123">$Q41/O41/1000000</f>
        <v>1.3636363636363638</v>
      </c>
      <c r="Y41" s="31">
        <v>4</v>
      </c>
      <c r="Z41" s="31" t="s">
        <v>23</v>
      </c>
      <c r="AA41" s="24">
        <f t="shared" ca="1" si="106"/>
        <v>2.3666666666666668E-5</v>
      </c>
      <c r="AB41" s="24">
        <f t="shared" ca="1" si="107"/>
        <v>6.3333333333333334E-6</v>
      </c>
      <c r="AC41" s="24">
        <f t="shared" ca="1" si="108"/>
        <v>5.6666666666666669E-6</v>
      </c>
      <c r="AD41" s="24">
        <f t="shared" ca="1" si="109"/>
        <v>6.3333333333333334E-6</v>
      </c>
      <c r="AE41" s="24">
        <f t="shared" ca="1" si="110"/>
        <v>8.333333333333332E-6</v>
      </c>
      <c r="AF41" s="24">
        <f t="shared" ca="1" si="111"/>
        <v>6.3333333333333334E-6</v>
      </c>
    </row>
    <row r="42" spans="1:32" x14ac:dyDescent="0.2">
      <c r="A42" s="6"/>
      <c r="B42" s="7">
        <f>0.000031</f>
        <v>3.1000000000000001E-5</v>
      </c>
      <c r="C42" s="7">
        <f>0.000003</f>
        <v>3.0000000000000001E-6</v>
      </c>
      <c r="D42" s="7">
        <f>0.000006</f>
        <v>6.0000000000000002E-6</v>
      </c>
      <c r="E42" s="7">
        <f>0.000004</f>
        <v>3.9999999999999998E-6</v>
      </c>
      <c r="F42" s="7">
        <f>0.000005</f>
        <v>5.0000000000000004E-6</v>
      </c>
      <c r="G42" s="7">
        <f>0.000006</f>
        <v>6.0000000000000002E-6</v>
      </c>
      <c r="I42" s="6"/>
      <c r="J42" s="15"/>
      <c r="K42" s="15"/>
      <c r="L42" s="15"/>
      <c r="M42" s="15"/>
      <c r="N42" s="15"/>
      <c r="O42" s="15"/>
      <c r="Q42" s="6"/>
      <c r="R42" s="11"/>
      <c r="S42" s="11"/>
      <c r="T42" s="11"/>
      <c r="U42" s="11"/>
      <c r="V42" s="11"/>
      <c r="W42" s="11"/>
      <c r="Y42" s="31">
        <v>5</v>
      </c>
      <c r="Z42" s="31" t="s">
        <v>24</v>
      </c>
      <c r="AA42" s="24">
        <f t="shared" ca="1" si="106"/>
        <v>9.066666666666667E-5</v>
      </c>
      <c r="AB42" s="24">
        <f t="shared" ca="1" si="107"/>
        <v>6.3333333333333332E-5</v>
      </c>
      <c r="AC42" s="24">
        <f t="shared" ca="1" si="108"/>
        <v>6.0999999999999999E-5</v>
      </c>
      <c r="AD42" s="24">
        <f t="shared" ca="1" si="109"/>
        <v>6.3E-5</v>
      </c>
      <c r="AE42" s="24">
        <f t="shared" ca="1" si="110"/>
        <v>6.4666666666666662E-5</v>
      </c>
      <c r="AF42" s="24">
        <f t="shared" ca="1" si="111"/>
        <v>6.433333333333333E-5</v>
      </c>
    </row>
    <row r="43" spans="1:32" x14ac:dyDescent="0.2">
      <c r="A43" s="6"/>
      <c r="B43" s="7">
        <f>0.000027</f>
        <v>2.6999999999999999E-5</v>
      </c>
      <c r="C43" s="7">
        <f>0.000003</f>
        <v>3.0000000000000001E-6</v>
      </c>
      <c r="D43" s="7">
        <f>0.000007</f>
        <v>6.9999999999999999E-6</v>
      </c>
      <c r="E43" s="7">
        <f>0.000004</f>
        <v>3.9999999999999998E-6</v>
      </c>
      <c r="F43" s="7">
        <f>0.000005</f>
        <v>5.0000000000000004E-6</v>
      </c>
      <c r="G43" s="7">
        <f>0.000008</f>
        <v>7.9999999999999996E-6</v>
      </c>
      <c r="I43" s="6"/>
      <c r="J43" s="16"/>
      <c r="K43" s="16"/>
      <c r="L43" s="16"/>
      <c r="M43" s="16"/>
      <c r="N43" s="16"/>
      <c r="O43" s="16"/>
      <c r="Q43" s="6"/>
      <c r="R43" s="13"/>
      <c r="S43" s="13"/>
      <c r="T43" s="13"/>
      <c r="U43" s="13"/>
      <c r="V43" s="13"/>
      <c r="W43" s="13"/>
      <c r="Y43" s="31">
        <v>6</v>
      </c>
      <c r="Z43" s="31" t="s">
        <v>25</v>
      </c>
      <c r="AA43" s="24">
        <f t="shared" ca="1" si="106"/>
        <v>1.0266666666666666E-4</v>
      </c>
      <c r="AB43" s="24">
        <f t="shared" ca="1" si="107"/>
        <v>7.3666666666666664E-5</v>
      </c>
      <c r="AC43" s="24">
        <f t="shared" ca="1" si="108"/>
        <v>7.3333333333333331E-5</v>
      </c>
      <c r="AD43" s="24">
        <f t="shared" ca="1" si="109"/>
        <v>7.6666666666666669E-5</v>
      </c>
      <c r="AE43" s="24">
        <f t="shared" ca="1" si="110"/>
        <v>7.7666666666666653E-5</v>
      </c>
      <c r="AF43" s="24">
        <f t="shared" ca="1" si="111"/>
        <v>7.8666666666666663E-5</v>
      </c>
    </row>
    <row r="44" spans="1:32" x14ac:dyDescent="0.2">
      <c r="A44" s="6">
        <v>100</v>
      </c>
      <c r="B44" s="7">
        <f>0.000026</f>
        <v>2.5999999999999998E-5</v>
      </c>
      <c r="C44" s="7">
        <f>0.000003</f>
        <v>3.0000000000000001E-6</v>
      </c>
      <c r="D44" s="7">
        <f>0.000004</f>
        <v>3.9999999999999998E-6</v>
      </c>
      <c r="E44" s="7">
        <f>0.000006</f>
        <v>6.0000000000000002E-6</v>
      </c>
      <c r="F44" s="7">
        <f>0.000005</f>
        <v>5.0000000000000004E-6</v>
      </c>
      <c r="G44" s="7">
        <f>0.000005</f>
        <v>5.0000000000000004E-6</v>
      </c>
      <c r="I44" s="6">
        <v>100</v>
      </c>
      <c r="J44" s="8">
        <f t="shared" ref="J44" si="124">AVERAGE(B44:B46)</f>
        <v>2.8666666666666668E-5</v>
      </c>
      <c r="K44" s="8">
        <f t="shared" ref="K44" si="125">AVERAGE(C44:C46)</f>
        <v>3.9999999999999998E-6</v>
      </c>
      <c r="L44" s="8">
        <f t="shared" ref="L44" si="126">AVERAGE(D44:D46)</f>
        <v>2.6666666666666664E-6</v>
      </c>
      <c r="M44" s="8">
        <f t="shared" ref="M44" si="127">AVERAGE(E44:E46)</f>
        <v>4.6666666666666663E-6</v>
      </c>
      <c r="N44" s="8">
        <f t="shared" ref="N44" si="128">AVERAGE(F44:F46)</f>
        <v>5.0000000000000004E-6</v>
      </c>
      <c r="O44" s="8">
        <f t="shared" ref="O44" si="129">AVERAGE(G44:G46)</f>
        <v>5.6666666666666669E-6</v>
      </c>
      <c r="Q44" s="6">
        <v>100</v>
      </c>
      <c r="R44" s="9">
        <f t="shared" ref="R44" si="130">$Q44/J44/1000000</f>
        <v>3.4883720930232553</v>
      </c>
      <c r="S44" s="9">
        <f t="shared" ref="S44" si="131">$Q44/K44/1000000</f>
        <v>25</v>
      </c>
      <c r="T44" s="9">
        <f t="shared" ref="T44" si="132">$Q44/L44/1000000</f>
        <v>37.5</v>
      </c>
      <c r="U44" s="9">
        <f t="shared" ref="U44" si="133">$Q44/M44/1000000</f>
        <v>21.428571428571431</v>
      </c>
      <c r="V44" s="9">
        <f t="shared" ref="V44" si="134">$Q44/N44/1000000</f>
        <v>20</v>
      </c>
      <c r="W44" s="9">
        <f t="shared" ref="W44" si="135">$Q44/O44/1000000</f>
        <v>17.647058823529409</v>
      </c>
      <c r="Y44" s="31">
        <v>7</v>
      </c>
      <c r="Z44" s="31" t="s">
        <v>26</v>
      </c>
      <c r="AA44" s="24">
        <f t="shared" ca="1" si="106"/>
        <v>9.0200000000000002E-4</v>
      </c>
      <c r="AB44" s="24">
        <f t="shared" ca="1" si="107"/>
        <v>8.5533333333333327E-4</v>
      </c>
      <c r="AC44" s="24">
        <f t="shared" ca="1" si="108"/>
        <v>6.4266666666666671E-4</v>
      </c>
      <c r="AD44" s="24">
        <f t="shared" ca="1" si="109"/>
        <v>6.8566666666666656E-4</v>
      </c>
      <c r="AE44" s="24">
        <f t="shared" ca="1" si="110"/>
        <v>3.7033333333333335E-4</v>
      </c>
      <c r="AF44" s="24">
        <f t="shared" ca="1" si="111"/>
        <v>4.2233333333333337E-4</v>
      </c>
    </row>
    <row r="45" spans="1:32" x14ac:dyDescent="0.2">
      <c r="A45" s="6"/>
      <c r="B45" s="7">
        <f>0.000029</f>
        <v>2.9E-5</v>
      </c>
      <c r="C45" s="7">
        <f>0.000006</f>
        <v>6.0000000000000002E-6</v>
      </c>
      <c r="D45" s="7">
        <f>0.000002</f>
        <v>1.9999999999999999E-6</v>
      </c>
      <c r="E45" s="7">
        <f>0.000005</f>
        <v>5.0000000000000004E-6</v>
      </c>
      <c r="F45" s="7">
        <f>0.000005</f>
        <v>5.0000000000000004E-6</v>
      </c>
      <c r="G45" s="7">
        <f>0.000005</f>
        <v>5.0000000000000004E-6</v>
      </c>
      <c r="I45" s="6"/>
      <c r="J45" s="15"/>
      <c r="K45" s="15"/>
      <c r="L45" s="15"/>
      <c r="M45" s="15"/>
      <c r="N45" s="15"/>
      <c r="O45" s="15"/>
      <c r="Q45" s="6"/>
      <c r="R45" s="11"/>
      <c r="S45" s="11"/>
      <c r="T45" s="11"/>
      <c r="U45" s="11"/>
      <c r="V45" s="11"/>
      <c r="W45" s="11"/>
      <c r="Y45" s="31">
        <v>8</v>
      </c>
      <c r="Z45" s="31" t="s">
        <v>27</v>
      </c>
      <c r="AA45" s="24">
        <f t="shared" ca="1" si="106"/>
        <v>6.9128666666666672E-2</v>
      </c>
      <c r="AB45" s="24">
        <f t="shared" ca="1" si="107"/>
        <v>3.9466666666666665E-4</v>
      </c>
      <c r="AC45" s="24">
        <f t="shared" ca="1" si="108"/>
        <v>6.1700000000000004E-4</v>
      </c>
      <c r="AD45" s="24">
        <f t="shared" ca="1" si="109"/>
        <v>6.8466666666666665E-4</v>
      </c>
      <c r="AE45" s="24">
        <f t="shared" ca="1" si="110"/>
        <v>3.7999999999999997E-4</v>
      </c>
      <c r="AF45" s="24">
        <f t="shared" ca="1" si="111"/>
        <v>4.4966666666666663E-4</v>
      </c>
    </row>
    <row r="46" spans="1:32" x14ac:dyDescent="0.2">
      <c r="A46" s="6"/>
      <c r="B46" s="7">
        <f>0.000031</f>
        <v>3.1000000000000001E-5</v>
      </c>
      <c r="C46" s="7">
        <f>0.000003</f>
        <v>3.0000000000000001E-6</v>
      </c>
      <c r="D46" s="7">
        <f>0.000002</f>
        <v>1.9999999999999999E-6</v>
      </c>
      <c r="E46" s="7">
        <f>0.000003</f>
        <v>3.0000000000000001E-6</v>
      </c>
      <c r="F46" s="7">
        <f>0.000005</f>
        <v>5.0000000000000004E-6</v>
      </c>
      <c r="G46" s="7">
        <f>0.000007</f>
        <v>6.9999999999999999E-6</v>
      </c>
      <c r="I46" s="6"/>
      <c r="J46" s="16"/>
      <c r="K46" s="16"/>
      <c r="L46" s="16"/>
      <c r="M46" s="16"/>
      <c r="N46" s="16"/>
      <c r="O46" s="16"/>
      <c r="Q46" s="6"/>
      <c r="R46" s="13"/>
      <c r="S46" s="13"/>
      <c r="T46" s="13"/>
      <c r="U46" s="13"/>
      <c r="V46" s="13"/>
      <c r="W46" s="13"/>
      <c r="Y46" s="31">
        <v>9</v>
      </c>
      <c r="Z46" s="31" t="s">
        <v>28</v>
      </c>
      <c r="AA46" s="24">
        <f t="shared" ca="1" si="106"/>
        <v>1.0304983333333333</v>
      </c>
      <c r="AB46" s="24">
        <f t="shared" ca="1" si="107"/>
        <v>5.5599999999999996E-4</v>
      </c>
      <c r="AC46" s="24">
        <f t="shared" ca="1" si="108"/>
        <v>1.1193333333333335E-3</v>
      </c>
      <c r="AD46" s="24">
        <f t="shared" ca="1" si="109"/>
        <v>2.9972333333333333E-2</v>
      </c>
      <c r="AE46" s="24">
        <f t="shared" ca="1" si="110"/>
        <v>1.95E-4</v>
      </c>
      <c r="AF46" s="24">
        <f t="shared" ca="1" si="111"/>
        <v>1.8966666666666665E-4</v>
      </c>
    </row>
    <row r="47" spans="1:32" x14ac:dyDescent="0.2">
      <c r="A47" s="6">
        <v>1000</v>
      </c>
      <c r="B47" s="7">
        <f>0.000033</f>
        <v>3.3000000000000003E-5</v>
      </c>
      <c r="C47" s="7">
        <f>0.000007</f>
        <v>6.9999999999999999E-6</v>
      </c>
      <c r="D47" s="7">
        <f>0.000007</f>
        <v>6.9999999999999999E-6</v>
      </c>
      <c r="E47" s="7">
        <f>0.000008</f>
        <v>7.9999999999999996E-6</v>
      </c>
      <c r="F47" s="7">
        <f>0.000006</f>
        <v>6.0000000000000002E-6</v>
      </c>
      <c r="G47" s="7">
        <f>0.000007</f>
        <v>6.9999999999999999E-6</v>
      </c>
      <c r="I47" s="6">
        <v>1000</v>
      </c>
      <c r="J47" s="8">
        <f t="shared" ref="J47" si="136">AVERAGE(B47:B49)</f>
        <v>2.3666666666666668E-5</v>
      </c>
      <c r="K47" s="8">
        <f t="shared" ref="K47" si="137">AVERAGE(C47:C49)</f>
        <v>6.3333333333333334E-6</v>
      </c>
      <c r="L47" s="8">
        <f t="shared" ref="L47" si="138">AVERAGE(D47:D49)</f>
        <v>5.6666666666666669E-6</v>
      </c>
      <c r="M47" s="8">
        <f t="shared" ref="M47" si="139">AVERAGE(E47:E49)</f>
        <v>6.3333333333333334E-6</v>
      </c>
      <c r="N47" s="8">
        <f t="shared" ref="N47" si="140">AVERAGE(F47:F49)</f>
        <v>8.333333333333332E-6</v>
      </c>
      <c r="O47" s="8">
        <f t="shared" ref="O47" si="141">AVERAGE(G47:G49)</f>
        <v>6.3333333333333334E-6</v>
      </c>
      <c r="Q47" s="6">
        <v>1000</v>
      </c>
      <c r="R47" s="9">
        <f t="shared" ref="R47" si="142">$Q47/J47/1000000</f>
        <v>42.25352112676056</v>
      </c>
      <c r="S47" s="9">
        <f t="shared" ref="S47" si="143">$Q47/K47/1000000</f>
        <v>157.89473684210526</v>
      </c>
      <c r="T47" s="9">
        <f t="shared" ref="T47" si="144">$Q47/L47/1000000</f>
        <v>176.47058823529412</v>
      </c>
      <c r="U47" s="9">
        <f t="shared" ref="U47" si="145">$Q47/M47/1000000</f>
        <v>157.89473684210526</v>
      </c>
      <c r="V47" s="9">
        <f t="shared" ref="V47" si="146">$Q47/N47/1000000</f>
        <v>120.00000000000001</v>
      </c>
      <c r="W47" s="9">
        <f t="shared" ref="W47" si="147">$Q47/O47/1000000</f>
        <v>157.89473684210526</v>
      </c>
    </row>
    <row r="48" spans="1:32" x14ac:dyDescent="0.2">
      <c r="A48" s="6"/>
      <c r="B48" s="7">
        <f>0.000008</f>
        <v>7.9999999999999996E-6</v>
      </c>
      <c r="C48" s="7">
        <f>0.000005</f>
        <v>5.0000000000000004E-6</v>
      </c>
      <c r="D48" s="7">
        <f>0.000007</f>
        <v>6.9999999999999999E-6</v>
      </c>
      <c r="E48" s="7">
        <f>0.000006</f>
        <v>6.0000000000000002E-6</v>
      </c>
      <c r="F48" s="7">
        <f>0.000006</f>
        <v>6.0000000000000002E-6</v>
      </c>
      <c r="G48" s="7">
        <f>0.000006</f>
        <v>6.0000000000000002E-6</v>
      </c>
      <c r="I48" s="6"/>
      <c r="J48" s="15"/>
      <c r="K48" s="15"/>
      <c r="L48" s="15"/>
      <c r="M48" s="15"/>
      <c r="N48" s="15"/>
      <c r="O48" s="15"/>
      <c r="Q48" s="6"/>
      <c r="R48" s="11"/>
      <c r="S48" s="11"/>
      <c r="T48" s="11"/>
      <c r="U48" s="11"/>
      <c r="V48" s="11"/>
      <c r="W48" s="11"/>
    </row>
    <row r="49" spans="1:23" x14ac:dyDescent="0.2">
      <c r="A49" s="6"/>
      <c r="B49" s="7">
        <f>0.00003</f>
        <v>3.0000000000000001E-5</v>
      </c>
      <c r="C49" s="7">
        <f>0.000007</f>
        <v>6.9999999999999999E-6</v>
      </c>
      <c r="D49" s="7">
        <f>0.000003</f>
        <v>3.0000000000000001E-6</v>
      </c>
      <c r="E49" s="7">
        <f>0.000005</f>
        <v>5.0000000000000004E-6</v>
      </c>
      <c r="F49" s="7">
        <f>0.000013</f>
        <v>1.2999999999999999E-5</v>
      </c>
      <c r="G49" s="7">
        <f>0.000006</f>
        <v>6.0000000000000002E-6</v>
      </c>
      <c r="I49" s="6"/>
      <c r="J49" s="16"/>
      <c r="K49" s="16"/>
      <c r="L49" s="16"/>
      <c r="M49" s="16"/>
      <c r="N49" s="16"/>
      <c r="O49" s="16"/>
      <c r="Q49" s="6"/>
      <c r="R49" s="13"/>
      <c r="S49" s="13"/>
      <c r="T49" s="13"/>
      <c r="U49" s="13"/>
      <c r="V49" s="13"/>
      <c r="W49" s="13"/>
    </row>
    <row r="50" spans="1:23" x14ac:dyDescent="0.2">
      <c r="A50" s="6">
        <v>10000</v>
      </c>
      <c r="B50" s="14">
        <f>0.000086</f>
        <v>8.6000000000000003E-5</v>
      </c>
      <c r="C50" s="14">
        <f>0.000058</f>
        <v>5.8E-5</v>
      </c>
      <c r="D50" s="14">
        <f>0.000057</f>
        <v>5.7000000000000003E-5</v>
      </c>
      <c r="E50" s="14">
        <f>0.00006</f>
        <v>6.0000000000000002E-5</v>
      </c>
      <c r="F50" s="14">
        <f>0.000061</f>
        <v>6.0999999999999999E-5</v>
      </c>
      <c r="G50" s="14">
        <f>0.00006</f>
        <v>6.0000000000000002E-5</v>
      </c>
      <c r="I50" s="6">
        <v>10000</v>
      </c>
      <c r="J50" s="8">
        <f t="shared" ref="J50" si="148">AVERAGE(B50:B52)</f>
        <v>9.066666666666667E-5</v>
      </c>
      <c r="K50" s="8">
        <f t="shared" ref="K50" si="149">AVERAGE(C50:C52)</f>
        <v>6.3333333333333332E-5</v>
      </c>
      <c r="L50" s="8">
        <f t="shared" ref="L50" si="150">AVERAGE(D50:D52)</f>
        <v>6.0999999999999999E-5</v>
      </c>
      <c r="M50" s="8">
        <f t="shared" ref="M50" si="151">AVERAGE(E50:E52)</f>
        <v>6.3E-5</v>
      </c>
      <c r="N50" s="8">
        <f t="shared" ref="N50" si="152">AVERAGE(F50:F52)</f>
        <v>6.4666666666666662E-5</v>
      </c>
      <c r="O50" s="8">
        <f t="shared" ref="O50" si="153">AVERAGE(G50:G52)</f>
        <v>6.433333333333333E-5</v>
      </c>
      <c r="Q50" s="6">
        <v>10000</v>
      </c>
      <c r="R50" s="9">
        <f t="shared" ref="R50" si="154">$Q50/J50/1000000</f>
        <v>110.29411764705881</v>
      </c>
      <c r="S50" s="9">
        <f t="shared" ref="S50" si="155">$Q50/K50/1000000</f>
        <v>157.89473684210526</v>
      </c>
      <c r="T50" s="9">
        <f t="shared" ref="T50" si="156">$Q50/L50/1000000</f>
        <v>163.9344262295082</v>
      </c>
      <c r="U50" s="9">
        <f t="shared" ref="U50" si="157">$Q50/M50/1000000</f>
        <v>158.73015873015871</v>
      </c>
      <c r="V50" s="9">
        <f t="shared" ref="V50" si="158">$Q50/N50/1000000</f>
        <v>154.63917525773198</v>
      </c>
      <c r="W50" s="9">
        <f t="shared" ref="W50" si="159">$Q50/O50/1000000</f>
        <v>155.44041450777203</v>
      </c>
    </row>
    <row r="51" spans="1:23" x14ac:dyDescent="0.2">
      <c r="A51" s="6"/>
      <c r="B51" s="7">
        <f>0.000087</f>
        <v>8.7000000000000001E-5</v>
      </c>
      <c r="C51" s="7">
        <f>0.000062</f>
        <v>6.2000000000000003E-5</v>
      </c>
      <c r="D51" s="7">
        <f>0.000059</f>
        <v>5.8999999999999998E-5</v>
      </c>
      <c r="E51" s="7">
        <f>0.00006</f>
        <v>6.0000000000000002E-5</v>
      </c>
      <c r="F51" s="7">
        <f>0.000062</f>
        <v>6.2000000000000003E-5</v>
      </c>
      <c r="G51" s="7">
        <f>0.00006</f>
        <v>6.0000000000000002E-5</v>
      </c>
      <c r="I51" s="6"/>
      <c r="J51" s="15"/>
      <c r="K51" s="15"/>
      <c r="L51" s="15"/>
      <c r="M51" s="15"/>
      <c r="N51" s="15"/>
      <c r="O51" s="15"/>
      <c r="Q51" s="6"/>
      <c r="R51" s="11"/>
      <c r="S51" s="11"/>
      <c r="T51" s="11"/>
      <c r="U51" s="11"/>
      <c r="V51" s="11"/>
      <c r="W51" s="11"/>
    </row>
    <row r="52" spans="1:23" x14ac:dyDescent="0.2">
      <c r="A52" s="6"/>
      <c r="B52" s="7">
        <f>0.000099</f>
        <v>9.8999999999999994E-5</v>
      </c>
      <c r="C52" s="7">
        <f>0.00007</f>
        <v>6.9999999999999994E-5</v>
      </c>
      <c r="D52" s="7">
        <f>0.000067</f>
        <v>6.7000000000000002E-5</v>
      </c>
      <c r="E52" s="7">
        <f>0.000069</f>
        <v>6.8999999999999997E-5</v>
      </c>
      <c r="F52" s="7">
        <f>0.000071</f>
        <v>7.1000000000000005E-5</v>
      </c>
      <c r="G52" s="7">
        <f>0.000073</f>
        <v>7.2999999999999999E-5</v>
      </c>
      <c r="I52" s="6"/>
      <c r="J52" s="16"/>
      <c r="K52" s="16"/>
      <c r="L52" s="16"/>
      <c r="M52" s="16"/>
      <c r="N52" s="16"/>
      <c r="O52" s="16"/>
      <c r="Q52" s="6"/>
      <c r="R52" s="13"/>
      <c r="S52" s="13"/>
      <c r="T52" s="13"/>
      <c r="U52" s="13"/>
      <c r="V52" s="13"/>
      <c r="W52" s="13"/>
    </row>
    <row r="53" spans="1:23" x14ac:dyDescent="0.2">
      <c r="A53" s="6">
        <v>100000</v>
      </c>
      <c r="B53" s="7">
        <f>0.000105</f>
        <v>1.05E-4</v>
      </c>
      <c r="C53" s="7">
        <f>0.000076</f>
        <v>7.6000000000000004E-5</v>
      </c>
      <c r="D53" s="7">
        <f>0.000074</f>
        <v>7.3999999999999996E-5</v>
      </c>
      <c r="E53" s="7">
        <f>0.000084</f>
        <v>8.3999999999999995E-5</v>
      </c>
      <c r="F53" s="7">
        <f>0.000086</f>
        <v>8.6000000000000003E-5</v>
      </c>
      <c r="G53" s="7">
        <f>0.000081</f>
        <v>8.1000000000000004E-5</v>
      </c>
      <c r="I53" s="6">
        <v>100000</v>
      </c>
      <c r="J53" s="8">
        <f t="shared" ref="J53" si="160">AVERAGE(B53:B55)</f>
        <v>1.0266666666666666E-4</v>
      </c>
      <c r="K53" s="8">
        <f t="shared" ref="K53" si="161">AVERAGE(C53:C55)</f>
        <v>7.3666666666666664E-5</v>
      </c>
      <c r="L53" s="8">
        <f t="shared" ref="L53" si="162">AVERAGE(D53:D55)</f>
        <v>7.3333333333333331E-5</v>
      </c>
      <c r="M53" s="8">
        <f t="shared" ref="M53" si="163">AVERAGE(E53:E55)</f>
        <v>7.6666666666666669E-5</v>
      </c>
      <c r="N53" s="8">
        <f t="shared" ref="N53" si="164">AVERAGE(F53:F55)</f>
        <v>7.7666666666666653E-5</v>
      </c>
      <c r="O53" s="8">
        <f t="shared" ref="O53" si="165">AVERAGE(G53:G55)</f>
        <v>7.8666666666666663E-5</v>
      </c>
      <c r="Q53" s="6">
        <v>100000</v>
      </c>
      <c r="R53" s="9">
        <f t="shared" ref="R53" si="166">$Q53/J53/1000000</f>
        <v>974.02597402597405</v>
      </c>
      <c r="S53" s="9">
        <f t="shared" ref="S53" si="167">$Q53/K53/1000000</f>
        <v>1357.4660633484164</v>
      </c>
      <c r="T53" s="9">
        <f t="shared" ref="T53" si="168">$Q53/L53/1000000</f>
        <v>1363.6363636363637</v>
      </c>
      <c r="U53" s="9">
        <f t="shared" ref="U53" si="169">$Q53/M53/1000000</f>
        <v>1304.3478260869565</v>
      </c>
      <c r="V53" s="9">
        <f t="shared" ref="V53" si="170">$Q53/N53/1000000</f>
        <v>1287.5536480686699</v>
      </c>
      <c r="W53" s="9">
        <f t="shared" ref="W53" si="171">$Q53/O53/1000000</f>
        <v>1271.1864406779662</v>
      </c>
    </row>
    <row r="54" spans="1:23" x14ac:dyDescent="0.2">
      <c r="A54" s="6"/>
      <c r="B54" s="7">
        <f>0.000101</f>
        <v>1.01E-4</v>
      </c>
      <c r="C54" s="7">
        <f>0.000072</f>
        <v>7.2000000000000002E-5</v>
      </c>
      <c r="D54" s="7">
        <f>0.000073</f>
        <v>7.2999999999999999E-5</v>
      </c>
      <c r="E54" s="7">
        <f>0.000073</f>
        <v>7.2999999999999999E-5</v>
      </c>
      <c r="F54" s="7">
        <f>0.000072</f>
        <v>7.2000000000000002E-5</v>
      </c>
      <c r="G54" s="7">
        <f>0.000074</f>
        <v>7.3999999999999996E-5</v>
      </c>
      <c r="I54" s="6"/>
      <c r="J54" s="15"/>
      <c r="K54" s="15"/>
      <c r="L54" s="15"/>
      <c r="M54" s="15"/>
      <c r="N54" s="15"/>
      <c r="O54" s="15"/>
      <c r="Q54" s="6"/>
      <c r="R54" s="11"/>
      <c r="S54" s="11"/>
      <c r="T54" s="11"/>
      <c r="U54" s="11"/>
      <c r="V54" s="11"/>
      <c r="W54" s="11"/>
    </row>
    <row r="55" spans="1:23" x14ac:dyDescent="0.2">
      <c r="A55" s="6"/>
      <c r="B55" s="7">
        <f>0.000102</f>
        <v>1.02E-4</v>
      </c>
      <c r="C55" s="7">
        <f>0.000073</f>
        <v>7.2999999999999999E-5</v>
      </c>
      <c r="D55" s="7">
        <f>0.000073</f>
        <v>7.2999999999999999E-5</v>
      </c>
      <c r="E55" s="7">
        <f>0.000073</f>
        <v>7.2999999999999999E-5</v>
      </c>
      <c r="F55" s="7">
        <f>0.000075</f>
        <v>7.4999999999999993E-5</v>
      </c>
      <c r="G55" s="7">
        <f>0.000081</f>
        <v>8.1000000000000004E-5</v>
      </c>
      <c r="I55" s="6"/>
      <c r="J55" s="16"/>
      <c r="K55" s="16"/>
      <c r="L55" s="16"/>
      <c r="M55" s="16"/>
      <c r="N55" s="16"/>
      <c r="O55" s="16"/>
      <c r="Q55" s="6"/>
      <c r="R55" s="13"/>
      <c r="S55" s="13"/>
      <c r="T55" s="13"/>
      <c r="U55" s="13"/>
      <c r="V55" s="13"/>
      <c r="W55" s="13"/>
    </row>
    <row r="56" spans="1:23" x14ac:dyDescent="0.2">
      <c r="A56" s="6">
        <v>1000000</v>
      </c>
      <c r="B56" s="7">
        <f>0.000878</f>
        <v>8.7799999999999998E-4</v>
      </c>
      <c r="C56" s="7">
        <f>0.000828</f>
        <v>8.2799999999999996E-4</v>
      </c>
      <c r="D56" s="7">
        <f>0.000128</f>
        <v>1.2799999999999999E-4</v>
      </c>
      <c r="E56" s="7">
        <f>0.000956</f>
        <v>9.5600000000000004E-4</v>
      </c>
      <c r="F56" s="7">
        <f>0.000126</f>
        <v>1.26E-4</v>
      </c>
      <c r="G56" s="7">
        <f>0.000156</f>
        <v>1.56E-4</v>
      </c>
      <c r="I56" s="6">
        <v>1000000</v>
      </c>
      <c r="J56" s="8">
        <f t="shared" ref="J56" si="172">AVERAGE(B56:B58)</f>
        <v>9.0200000000000002E-4</v>
      </c>
      <c r="K56" s="8">
        <f t="shared" ref="K56" si="173">AVERAGE(C56:C58)</f>
        <v>8.5533333333333327E-4</v>
      </c>
      <c r="L56" s="8">
        <f t="shared" ref="L56" si="174">AVERAGE(D56:D58)</f>
        <v>6.4266666666666671E-4</v>
      </c>
      <c r="M56" s="8">
        <f t="shared" ref="M56" si="175">AVERAGE(E56:E58)</f>
        <v>6.8566666666666656E-4</v>
      </c>
      <c r="N56" s="8">
        <f t="shared" ref="N56" si="176">AVERAGE(F56:F58)</f>
        <v>3.7033333333333335E-4</v>
      </c>
      <c r="O56" s="8">
        <f t="shared" ref="O56" si="177">AVERAGE(G56:G58)</f>
        <v>4.2233333333333337E-4</v>
      </c>
      <c r="Q56" s="6">
        <v>1000000</v>
      </c>
      <c r="R56" s="9">
        <f t="shared" ref="R56" si="178">$Q56/J56/1000000</f>
        <v>1108.6474501108646</v>
      </c>
      <c r="S56" s="9">
        <f t="shared" ref="S56" si="179">$Q56/K56/1000000</f>
        <v>1169.1348402182387</v>
      </c>
      <c r="T56" s="9">
        <f t="shared" ref="T56" si="180">$Q56/L56/1000000</f>
        <v>1556.0165975103735</v>
      </c>
      <c r="U56" s="9">
        <f t="shared" ref="U56" si="181">$Q56/M56/1000000</f>
        <v>1458.4346135148278</v>
      </c>
      <c r="V56" s="9">
        <f t="shared" ref="V56" si="182">$Q56/N56/1000000</f>
        <v>2700.2700270027003</v>
      </c>
      <c r="W56" s="9">
        <f t="shared" ref="W56" si="183">$Q56/O56/1000000</f>
        <v>2367.7979479084447</v>
      </c>
    </row>
    <row r="57" spans="1:23" x14ac:dyDescent="0.2">
      <c r="A57" s="6"/>
      <c r="B57" s="7">
        <f>0.000838</f>
        <v>8.3799999999999999E-4</v>
      </c>
      <c r="C57" s="7">
        <f>0.000779</f>
        <v>7.7899999999999996E-4</v>
      </c>
      <c r="D57" s="7">
        <f>0.000813</f>
        <v>8.1300000000000003E-4</v>
      </c>
      <c r="E57" s="7">
        <f>0.000873</f>
        <v>8.7299999999999997E-4</v>
      </c>
      <c r="F57" s="7">
        <f>0.000811</f>
        <v>8.1099999999999998E-4</v>
      </c>
      <c r="G57" s="7">
        <f>0.000898</f>
        <v>8.9800000000000004E-4</v>
      </c>
      <c r="I57" s="6"/>
      <c r="J57" s="15"/>
      <c r="K57" s="15"/>
      <c r="L57" s="15"/>
      <c r="M57" s="15"/>
      <c r="N57" s="15"/>
      <c r="O57" s="15"/>
      <c r="Q57" s="6"/>
      <c r="R57" s="11"/>
      <c r="S57" s="11"/>
      <c r="T57" s="11"/>
      <c r="U57" s="11"/>
      <c r="V57" s="11"/>
      <c r="W57" s="11"/>
    </row>
    <row r="58" spans="1:23" x14ac:dyDescent="0.2">
      <c r="A58" s="6"/>
      <c r="B58" s="7">
        <f>0.00099</f>
        <v>9.8999999999999999E-4</v>
      </c>
      <c r="C58" s="7">
        <f>0.000959</f>
        <v>9.59E-4</v>
      </c>
      <c r="D58" s="7">
        <f>0.000987</f>
        <v>9.8700000000000003E-4</v>
      </c>
      <c r="E58" s="7">
        <f>0.000228</f>
        <v>2.2800000000000001E-4</v>
      </c>
      <c r="F58" s="7">
        <f>0.000174</f>
        <v>1.74E-4</v>
      </c>
      <c r="G58" s="7">
        <f>0.000213</f>
        <v>2.13E-4</v>
      </c>
      <c r="I58" s="6"/>
      <c r="J58" s="16"/>
      <c r="K58" s="16"/>
      <c r="L58" s="16"/>
      <c r="M58" s="16"/>
      <c r="N58" s="16"/>
      <c r="O58" s="16"/>
      <c r="Q58" s="6"/>
      <c r="R58" s="13"/>
      <c r="S58" s="13"/>
      <c r="T58" s="13"/>
      <c r="U58" s="13"/>
      <c r="V58" s="13"/>
      <c r="W58" s="13"/>
    </row>
    <row r="59" spans="1:23" x14ac:dyDescent="0.2">
      <c r="A59" s="6">
        <v>10000000</v>
      </c>
      <c r="B59" s="7">
        <f>0.194612</f>
        <v>0.19461200000000001</v>
      </c>
      <c r="C59" s="7">
        <f>0.000127</f>
        <v>1.27E-4</v>
      </c>
      <c r="D59" s="7">
        <f>0.000825</f>
        <v>8.25E-4</v>
      </c>
      <c r="E59" s="7">
        <f>0.000921</f>
        <v>9.2100000000000005E-4</v>
      </c>
      <c r="F59" s="7">
        <f>0.000122</f>
        <v>1.22E-4</v>
      </c>
      <c r="G59" s="7">
        <f>0.000146</f>
        <v>1.46E-4</v>
      </c>
      <c r="I59" s="6">
        <v>10000000</v>
      </c>
      <c r="J59" s="8">
        <f t="shared" ref="J59" si="184">AVERAGE(B59:B61)</f>
        <v>6.9128666666666672E-2</v>
      </c>
      <c r="K59" s="8">
        <f t="shared" ref="K59" si="185">AVERAGE(C59:C61)</f>
        <v>3.9466666666666665E-4</v>
      </c>
      <c r="L59" s="8">
        <f t="shared" ref="L59" si="186">AVERAGE(D59:D61)</f>
        <v>6.1700000000000004E-4</v>
      </c>
      <c r="M59" s="8">
        <f t="shared" ref="M59" si="187">AVERAGE(E59:E61)</f>
        <v>6.8466666666666665E-4</v>
      </c>
      <c r="N59" s="8">
        <f t="shared" ref="N59" si="188">AVERAGE(F59:F61)</f>
        <v>3.7999999999999997E-4</v>
      </c>
      <c r="O59" s="8">
        <f t="shared" ref="O59" si="189">AVERAGE(G59:G61)</f>
        <v>4.4966666666666663E-4</v>
      </c>
      <c r="Q59" s="6">
        <v>10000000</v>
      </c>
      <c r="R59" s="17">
        <f t="shared" ref="R59" si="190">$Q59/J59/1000000</f>
        <v>144.65778789310752</v>
      </c>
      <c r="S59" s="17">
        <f t="shared" ref="S59" si="191">$Q59/K59/1000000</f>
        <v>25337.83783783784</v>
      </c>
      <c r="T59" s="17">
        <f t="shared" ref="T59" si="192">$Q59/L59/1000000</f>
        <v>16207.455429497568</v>
      </c>
      <c r="U59" s="17">
        <f t="shared" ref="U59" si="193">$Q59/M59/1000000</f>
        <v>14605.647517039923</v>
      </c>
      <c r="V59" s="17">
        <f t="shared" ref="V59" si="194">$Q59/N59/1000000</f>
        <v>26315.78947368421</v>
      </c>
      <c r="W59" s="17">
        <f t="shared" ref="W59" si="195">$Q59/O59/1000000</f>
        <v>22238.695329873983</v>
      </c>
    </row>
    <row r="60" spans="1:23" x14ac:dyDescent="0.2">
      <c r="A60" s="6"/>
      <c r="B60" s="7">
        <f>0.004971</f>
        <v>4.9709999999999997E-3</v>
      </c>
      <c r="C60" s="7">
        <f>0.000143</f>
        <v>1.4300000000000001E-4</v>
      </c>
      <c r="D60" s="7">
        <f>0.000136</f>
        <v>1.36E-4</v>
      </c>
      <c r="E60" s="7">
        <f>0.000167</f>
        <v>1.6699999999999999E-4</v>
      </c>
      <c r="F60" s="7">
        <f>0.000136</f>
        <v>1.36E-4</v>
      </c>
      <c r="G60" s="7">
        <f>0.000167</f>
        <v>1.6699999999999999E-4</v>
      </c>
      <c r="I60" s="6"/>
      <c r="J60" s="15"/>
      <c r="K60" s="15"/>
      <c r="L60" s="15"/>
      <c r="M60" s="15"/>
      <c r="N60" s="15"/>
      <c r="O60" s="15"/>
      <c r="Q60" s="6"/>
      <c r="R60" s="18"/>
      <c r="S60" s="18"/>
      <c r="T60" s="18"/>
      <c r="U60" s="18"/>
      <c r="V60" s="18"/>
      <c r="W60" s="18"/>
    </row>
    <row r="61" spans="1:23" x14ac:dyDescent="0.2">
      <c r="A61" s="6"/>
      <c r="B61" s="7">
        <f>0.007803</f>
        <v>7.803E-3</v>
      </c>
      <c r="C61" s="7">
        <f>0.000914</f>
        <v>9.1399999999999999E-4</v>
      </c>
      <c r="D61" s="7">
        <f>0.00089</f>
        <v>8.8999999999999995E-4</v>
      </c>
      <c r="E61" s="7">
        <f>0.000966</f>
        <v>9.6599999999999995E-4</v>
      </c>
      <c r="F61" s="7">
        <f>0.000882</f>
        <v>8.8199999999999997E-4</v>
      </c>
      <c r="G61" s="7">
        <f>0.001036</f>
        <v>1.036E-3</v>
      </c>
      <c r="I61" s="6"/>
      <c r="J61" s="16"/>
      <c r="K61" s="16"/>
      <c r="L61" s="16"/>
      <c r="M61" s="16"/>
      <c r="N61" s="16"/>
      <c r="O61" s="16"/>
      <c r="Q61" s="6"/>
      <c r="R61" s="19"/>
      <c r="S61" s="19"/>
      <c r="T61" s="19"/>
      <c r="U61" s="19"/>
      <c r="V61" s="19"/>
      <c r="W61" s="19"/>
    </row>
    <row r="62" spans="1:23" x14ac:dyDescent="0.2">
      <c r="A62" s="6">
        <v>100000000</v>
      </c>
      <c r="B62" s="7">
        <f>0.797828</f>
        <v>0.79782799999999998</v>
      </c>
      <c r="C62" s="7">
        <f>0.000207</f>
        <v>2.0699999999999999E-4</v>
      </c>
      <c r="D62" s="7">
        <f>0.000168</f>
        <v>1.6799999999999999E-4</v>
      </c>
      <c r="E62" s="7">
        <f>0.000956</f>
        <v>9.5600000000000004E-4</v>
      </c>
      <c r="F62" s="7">
        <f>0.000123</f>
        <v>1.2300000000000001E-4</v>
      </c>
      <c r="G62" s="7">
        <f>0.000124</f>
        <v>1.2400000000000001E-4</v>
      </c>
      <c r="I62" s="6">
        <v>100000000</v>
      </c>
      <c r="J62" s="8">
        <f t="shared" ref="J62" si="196">AVERAGE(B62:B64)</f>
        <v>1.0304983333333333</v>
      </c>
      <c r="K62" s="8">
        <f t="shared" ref="K62" si="197">AVERAGE(C62:C64)</f>
        <v>5.5599999999999996E-4</v>
      </c>
      <c r="L62" s="8">
        <f t="shared" ref="L62" si="198">AVERAGE(D62:D64)</f>
        <v>1.1193333333333335E-3</v>
      </c>
      <c r="M62" s="8">
        <f t="shared" ref="M62" si="199">AVERAGE(E62:E64)</f>
        <v>2.9972333333333333E-2</v>
      </c>
      <c r="N62" s="8">
        <f t="shared" ref="N62" si="200">AVERAGE(F62:F64)</f>
        <v>1.95E-4</v>
      </c>
      <c r="O62" s="8">
        <f t="shared" ref="O62" si="201">AVERAGE(G62:G64)</f>
        <v>1.8966666666666665E-4</v>
      </c>
      <c r="Q62" s="6">
        <v>100000000</v>
      </c>
      <c r="R62" s="17">
        <f>$Q62/J62/1000000</f>
        <v>97.040428659920195</v>
      </c>
      <c r="S62" s="17">
        <f t="shared" ref="S62" si="202">$Q62/K62/1000000</f>
        <v>179856.11510791371</v>
      </c>
      <c r="T62" s="17">
        <f t="shared" ref="T62" si="203">$Q62/L62/1000000</f>
        <v>89338.892197736743</v>
      </c>
      <c r="U62" s="17">
        <f t="shared" ref="U62" si="204">$Q62/M62/1000000</f>
        <v>3336.4102450037253</v>
      </c>
      <c r="V62" s="17">
        <f t="shared" ref="V62" si="205">$Q62/N62/1000000</f>
        <v>512820.51282051281</v>
      </c>
      <c r="W62" s="17">
        <f t="shared" ref="W62" si="206">$Q62/O62/1000000</f>
        <v>527240.77328646753</v>
      </c>
    </row>
    <row r="63" spans="1:23" x14ac:dyDescent="0.2">
      <c r="A63" s="6"/>
      <c r="B63" s="7">
        <f>1.191903</f>
        <v>1.1919029999999999</v>
      </c>
      <c r="C63" s="7">
        <f>0.000359</f>
        <v>3.59E-4</v>
      </c>
      <c r="D63" s="7">
        <f>0.00222</f>
        <v>2.2200000000000002E-3</v>
      </c>
      <c r="E63" s="7">
        <f>0.001337</f>
        <v>1.3370000000000001E-3</v>
      </c>
      <c r="F63" s="7">
        <f>0.000252</f>
        <v>2.52E-4</v>
      </c>
      <c r="G63" s="7">
        <f>0.000245</f>
        <v>2.4499999999999999E-4</v>
      </c>
      <c r="I63" s="6"/>
      <c r="J63" s="15"/>
      <c r="K63" s="15"/>
      <c r="L63" s="15"/>
      <c r="M63" s="15"/>
      <c r="N63" s="15"/>
      <c r="O63" s="15"/>
      <c r="Q63" s="6"/>
      <c r="R63" s="18"/>
      <c r="S63" s="18"/>
      <c r="T63" s="18"/>
      <c r="U63" s="18"/>
      <c r="V63" s="18"/>
      <c r="W63" s="18"/>
    </row>
    <row r="64" spans="1:23" x14ac:dyDescent="0.2">
      <c r="A64" s="6"/>
      <c r="B64" s="7">
        <f>1.101764</f>
        <v>1.101764</v>
      </c>
      <c r="C64" s="7">
        <f>0.001102</f>
        <v>1.1019999999999999E-3</v>
      </c>
      <c r="D64" s="7">
        <f>0.00097</f>
        <v>9.7000000000000005E-4</v>
      </c>
      <c r="E64" s="7">
        <f>0.087624</f>
        <v>8.7623999999999994E-2</v>
      </c>
      <c r="F64" s="7">
        <f>0.00021</f>
        <v>2.1000000000000001E-4</v>
      </c>
      <c r="G64" s="7">
        <f>0.0002</f>
        <v>2.0000000000000001E-4</v>
      </c>
      <c r="I64" s="6"/>
      <c r="J64" s="16"/>
      <c r="K64" s="16"/>
      <c r="L64" s="16"/>
      <c r="M64" s="16"/>
      <c r="N64" s="16"/>
      <c r="O64" s="16"/>
      <c r="Q64" s="6"/>
      <c r="R64" s="19"/>
      <c r="S64" s="19"/>
      <c r="T64" s="19"/>
      <c r="U64" s="19"/>
      <c r="V64" s="19"/>
      <c r="W64" s="19"/>
    </row>
  </sheetData>
  <mergeCells count="316">
    <mergeCell ref="B35:G35"/>
    <mergeCell ref="B36:B37"/>
    <mergeCell ref="C36:C37"/>
    <mergeCell ref="D36:D37"/>
    <mergeCell ref="E36:E37"/>
    <mergeCell ref="F36:F37"/>
    <mergeCell ref="B2:G2"/>
    <mergeCell ref="A5:A7"/>
    <mergeCell ref="A8:A10"/>
    <mergeCell ref="A11:A13"/>
    <mergeCell ref="A14:A16"/>
    <mergeCell ref="A17:A19"/>
    <mergeCell ref="B3:B4"/>
    <mergeCell ref="C3:C4"/>
    <mergeCell ref="D3:D4"/>
    <mergeCell ref="E3:E4"/>
    <mergeCell ref="F3:F4"/>
    <mergeCell ref="G3:G4"/>
    <mergeCell ref="L5:L7"/>
    <mergeCell ref="M5:M7"/>
    <mergeCell ref="N5:N7"/>
    <mergeCell ref="O5:O7"/>
    <mergeCell ref="A53:A55"/>
    <mergeCell ref="A56:A58"/>
    <mergeCell ref="A59:A61"/>
    <mergeCell ref="A62:A64"/>
    <mergeCell ref="J2:O2"/>
    <mergeCell ref="J3:J4"/>
    <mergeCell ref="K3:K4"/>
    <mergeCell ref="L3:L4"/>
    <mergeCell ref="M3:M4"/>
    <mergeCell ref="N3:N4"/>
    <mergeCell ref="G36:G37"/>
    <mergeCell ref="A38:A40"/>
    <mergeCell ref="A41:A43"/>
    <mergeCell ref="A44:A46"/>
    <mergeCell ref="A47:A49"/>
    <mergeCell ref="A50:A52"/>
    <mergeCell ref="A20:A22"/>
    <mergeCell ref="A23:A25"/>
    <mergeCell ref="A26:A28"/>
    <mergeCell ref="A29:A31"/>
    <mergeCell ref="I20:I22"/>
    <mergeCell ref="I23:I25"/>
    <mergeCell ref="I26:I28"/>
    <mergeCell ref="I29:I31"/>
    <mergeCell ref="J5:J7"/>
    <mergeCell ref="K5:K7"/>
    <mergeCell ref="J8:J10"/>
    <mergeCell ref="K8:K10"/>
    <mergeCell ref="J14:J16"/>
    <mergeCell ref="K14:K16"/>
    <mergeCell ref="I5:I7"/>
    <mergeCell ref="I8:I10"/>
    <mergeCell ref="I11:I13"/>
    <mergeCell ref="I14:I16"/>
    <mergeCell ref="I17:I19"/>
    <mergeCell ref="L8:L10"/>
    <mergeCell ref="M8:M10"/>
    <mergeCell ref="N8:N10"/>
    <mergeCell ref="O8:O10"/>
    <mergeCell ref="J11:J13"/>
    <mergeCell ref="K11:K13"/>
    <mergeCell ref="L11:L13"/>
    <mergeCell ref="M11:M13"/>
    <mergeCell ref="N11:N13"/>
    <mergeCell ref="O11:O13"/>
    <mergeCell ref="J20:J22"/>
    <mergeCell ref="K20:K22"/>
    <mergeCell ref="L20:L22"/>
    <mergeCell ref="M20:M22"/>
    <mergeCell ref="N20:N22"/>
    <mergeCell ref="O20:O22"/>
    <mergeCell ref="L14:L16"/>
    <mergeCell ref="M14:M16"/>
    <mergeCell ref="N14:N16"/>
    <mergeCell ref="O14:O16"/>
    <mergeCell ref="J17:J19"/>
    <mergeCell ref="K17:K19"/>
    <mergeCell ref="L17:L19"/>
    <mergeCell ref="M17:M19"/>
    <mergeCell ref="N17:N19"/>
    <mergeCell ref="O17:O19"/>
    <mergeCell ref="L26:L28"/>
    <mergeCell ref="M26:M28"/>
    <mergeCell ref="N26:N28"/>
    <mergeCell ref="O26:O28"/>
    <mergeCell ref="J23:J25"/>
    <mergeCell ref="K23:K25"/>
    <mergeCell ref="L23:L25"/>
    <mergeCell ref="M23:M25"/>
    <mergeCell ref="N23:N25"/>
    <mergeCell ref="O23:O25"/>
    <mergeCell ref="I41:I43"/>
    <mergeCell ref="J41:J43"/>
    <mergeCell ref="K41:K43"/>
    <mergeCell ref="L41:L43"/>
    <mergeCell ref="M41:M43"/>
    <mergeCell ref="N41:N43"/>
    <mergeCell ref="O41:O43"/>
    <mergeCell ref="I38:I40"/>
    <mergeCell ref="J38:J40"/>
    <mergeCell ref="K38:K40"/>
    <mergeCell ref="L38:L40"/>
    <mergeCell ref="M38:M40"/>
    <mergeCell ref="N38:N40"/>
    <mergeCell ref="I47:I49"/>
    <mergeCell ref="J47:J49"/>
    <mergeCell ref="K47:K49"/>
    <mergeCell ref="L47:L49"/>
    <mergeCell ref="M47:M49"/>
    <mergeCell ref="N47:N49"/>
    <mergeCell ref="O47:O49"/>
    <mergeCell ref="I44:I46"/>
    <mergeCell ref="J44:J46"/>
    <mergeCell ref="K44:K46"/>
    <mergeCell ref="L44:L46"/>
    <mergeCell ref="M44:M46"/>
    <mergeCell ref="N44:N46"/>
    <mergeCell ref="I53:I55"/>
    <mergeCell ref="J53:J55"/>
    <mergeCell ref="K53:K55"/>
    <mergeCell ref="L53:L55"/>
    <mergeCell ref="M53:M55"/>
    <mergeCell ref="N53:N55"/>
    <mergeCell ref="O53:O55"/>
    <mergeCell ref="I50:I52"/>
    <mergeCell ref="J50:J52"/>
    <mergeCell ref="K50:K52"/>
    <mergeCell ref="L50:L52"/>
    <mergeCell ref="M50:M52"/>
    <mergeCell ref="N50:N52"/>
    <mergeCell ref="I62:I64"/>
    <mergeCell ref="J62:J64"/>
    <mergeCell ref="K62:K64"/>
    <mergeCell ref="L62:L64"/>
    <mergeCell ref="M62:M64"/>
    <mergeCell ref="N62:N64"/>
    <mergeCell ref="O56:O58"/>
    <mergeCell ref="I59:I61"/>
    <mergeCell ref="J59:J61"/>
    <mergeCell ref="K59:K61"/>
    <mergeCell ref="L59:L61"/>
    <mergeCell ref="M59:M61"/>
    <mergeCell ref="N59:N61"/>
    <mergeCell ref="O59:O61"/>
    <mergeCell ref="I56:I58"/>
    <mergeCell ref="J56:J58"/>
    <mergeCell ref="K56:K58"/>
    <mergeCell ref="L56:L58"/>
    <mergeCell ref="M56:M58"/>
    <mergeCell ref="N56:N58"/>
    <mergeCell ref="I3:I4"/>
    <mergeCell ref="I36:I37"/>
    <mergeCell ref="R2:W2"/>
    <mergeCell ref="Q3:Q4"/>
    <mergeCell ref="R3:R4"/>
    <mergeCell ref="S3:S4"/>
    <mergeCell ref="T3:T4"/>
    <mergeCell ref="U3:U4"/>
    <mergeCell ref="V3:V4"/>
    <mergeCell ref="J35:O35"/>
    <mergeCell ref="J36:J37"/>
    <mergeCell ref="K36:K37"/>
    <mergeCell ref="L36:L37"/>
    <mergeCell ref="M36:M37"/>
    <mergeCell ref="N36:N37"/>
    <mergeCell ref="O36:O37"/>
    <mergeCell ref="J29:J31"/>
    <mergeCell ref="K29:K31"/>
    <mergeCell ref="L29:L31"/>
    <mergeCell ref="M29:M31"/>
    <mergeCell ref="N29:N31"/>
    <mergeCell ref="O29:O31"/>
    <mergeCell ref="J26:J28"/>
    <mergeCell ref="K26:K28"/>
    <mergeCell ref="W3:W4"/>
    <mergeCell ref="Q5:Q7"/>
    <mergeCell ref="R5:R7"/>
    <mergeCell ref="S5:S7"/>
    <mergeCell ref="T5:T7"/>
    <mergeCell ref="U5:U7"/>
    <mergeCell ref="V5:V7"/>
    <mergeCell ref="W5:W7"/>
    <mergeCell ref="O62:O64"/>
    <mergeCell ref="O50:O52"/>
    <mergeCell ref="O44:O46"/>
    <mergeCell ref="O38:O40"/>
    <mergeCell ref="O3:O4"/>
    <mergeCell ref="W8:W10"/>
    <mergeCell ref="Q11:Q13"/>
    <mergeCell ref="R11:R13"/>
    <mergeCell ref="S11:S13"/>
    <mergeCell ref="T11:T13"/>
    <mergeCell ref="U11:U13"/>
    <mergeCell ref="V11:V13"/>
    <mergeCell ref="W11:W13"/>
    <mergeCell ref="Q8:Q10"/>
    <mergeCell ref="R8:R10"/>
    <mergeCell ref="S8:S10"/>
    <mergeCell ref="T8:T10"/>
    <mergeCell ref="U8:U10"/>
    <mergeCell ref="V8:V10"/>
    <mergeCell ref="W14:W16"/>
    <mergeCell ref="Q17:Q19"/>
    <mergeCell ref="R17:R19"/>
    <mergeCell ref="S17:S19"/>
    <mergeCell ref="T17:T19"/>
    <mergeCell ref="U17:U19"/>
    <mergeCell ref="V17:V19"/>
    <mergeCell ref="W17:W19"/>
    <mergeCell ref="Q14:Q16"/>
    <mergeCell ref="R14:R16"/>
    <mergeCell ref="S14:S16"/>
    <mergeCell ref="T14:T16"/>
    <mergeCell ref="U14:U16"/>
    <mergeCell ref="V14:V16"/>
    <mergeCell ref="W20:W22"/>
    <mergeCell ref="Q23:Q25"/>
    <mergeCell ref="R23:R25"/>
    <mergeCell ref="S23:S25"/>
    <mergeCell ref="T23:T25"/>
    <mergeCell ref="U23:U25"/>
    <mergeCell ref="V23:V25"/>
    <mergeCell ref="W23:W25"/>
    <mergeCell ref="Q20:Q22"/>
    <mergeCell ref="R20:R22"/>
    <mergeCell ref="S20:S22"/>
    <mergeCell ref="T20:T22"/>
    <mergeCell ref="U20:U22"/>
    <mergeCell ref="V20:V22"/>
    <mergeCell ref="R35:W35"/>
    <mergeCell ref="Q36:Q37"/>
    <mergeCell ref="R36:R37"/>
    <mergeCell ref="S36:S37"/>
    <mergeCell ref="T36:T37"/>
    <mergeCell ref="U36:U37"/>
    <mergeCell ref="V36:V37"/>
    <mergeCell ref="W36:W37"/>
    <mergeCell ref="W26:W28"/>
    <mergeCell ref="Q29:Q31"/>
    <mergeCell ref="R29:R31"/>
    <mergeCell ref="S29:S31"/>
    <mergeCell ref="T29:T31"/>
    <mergeCell ref="U29:U31"/>
    <mergeCell ref="V29:V31"/>
    <mergeCell ref="W29:W31"/>
    <mergeCell ref="Q26:Q28"/>
    <mergeCell ref="R26:R28"/>
    <mergeCell ref="S26:S28"/>
    <mergeCell ref="T26:T28"/>
    <mergeCell ref="U26:U28"/>
    <mergeCell ref="V26:V28"/>
    <mergeCell ref="W38:W40"/>
    <mergeCell ref="Q41:Q43"/>
    <mergeCell ref="R41:R43"/>
    <mergeCell ref="S41:S43"/>
    <mergeCell ref="T41:T43"/>
    <mergeCell ref="U41:U43"/>
    <mergeCell ref="V41:V43"/>
    <mergeCell ref="W41:W43"/>
    <mergeCell ref="Q38:Q40"/>
    <mergeCell ref="R38:R40"/>
    <mergeCell ref="S38:S40"/>
    <mergeCell ref="T38:T40"/>
    <mergeCell ref="U38:U40"/>
    <mergeCell ref="V38:V40"/>
    <mergeCell ref="W44:W46"/>
    <mergeCell ref="Q47:Q49"/>
    <mergeCell ref="R47:R49"/>
    <mergeCell ref="S47:S49"/>
    <mergeCell ref="T47:T49"/>
    <mergeCell ref="U47:U49"/>
    <mergeCell ref="V47:V49"/>
    <mergeCell ref="W47:W49"/>
    <mergeCell ref="Q44:Q46"/>
    <mergeCell ref="R44:R46"/>
    <mergeCell ref="S44:S46"/>
    <mergeCell ref="T44:T46"/>
    <mergeCell ref="U44:U46"/>
    <mergeCell ref="V44:V46"/>
    <mergeCell ref="W50:W52"/>
    <mergeCell ref="Q53:Q55"/>
    <mergeCell ref="R53:R55"/>
    <mergeCell ref="S53:S55"/>
    <mergeCell ref="T53:T55"/>
    <mergeCell ref="U53:U55"/>
    <mergeCell ref="V53:V55"/>
    <mergeCell ref="W53:W55"/>
    <mergeCell ref="Q50:Q52"/>
    <mergeCell ref="R50:R52"/>
    <mergeCell ref="S50:S52"/>
    <mergeCell ref="T50:T52"/>
    <mergeCell ref="U50:U52"/>
    <mergeCell ref="V50:V52"/>
    <mergeCell ref="W62:W64"/>
    <mergeCell ref="Q62:Q64"/>
    <mergeCell ref="R62:R64"/>
    <mergeCell ref="S62:S64"/>
    <mergeCell ref="T62:T64"/>
    <mergeCell ref="U62:U64"/>
    <mergeCell ref="V62:V64"/>
    <mergeCell ref="W56:W58"/>
    <mergeCell ref="Q59:Q61"/>
    <mergeCell ref="R59:R61"/>
    <mergeCell ref="S59:S61"/>
    <mergeCell ref="T59:T61"/>
    <mergeCell ref="U59:U61"/>
    <mergeCell ref="V59:V61"/>
    <mergeCell ref="W59:W61"/>
    <mergeCell ref="Q56:Q58"/>
    <mergeCell ref="R56:R58"/>
    <mergeCell ref="S56:S58"/>
    <mergeCell ref="T56:T58"/>
    <mergeCell ref="U56:U58"/>
    <mergeCell ref="V56:V5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L13" sqref="L13"/>
    </sheetView>
  </sheetViews>
  <sheetFormatPr baseColWidth="10" defaultRowHeight="16" x14ac:dyDescent="0.2"/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20" t="s">
        <v>10</v>
      </c>
      <c r="B2" s="20" t="s">
        <v>14</v>
      </c>
      <c r="C2" s="21">
        <v>2</v>
      </c>
      <c r="D2" s="22"/>
      <c r="E2" s="21">
        <v>4</v>
      </c>
      <c r="F2" s="22"/>
      <c r="G2" s="21">
        <v>8</v>
      </c>
      <c r="H2" s="22"/>
      <c r="I2" s="21">
        <v>16</v>
      </c>
      <c r="J2" s="22"/>
      <c r="K2" s="21">
        <v>28</v>
      </c>
      <c r="L2" s="22"/>
      <c r="M2" s="21">
        <v>56</v>
      </c>
      <c r="N2" s="22"/>
      <c r="O2" s="3"/>
      <c r="P2" s="3"/>
      <c r="Q2" s="3"/>
      <c r="R2" s="3"/>
    </row>
    <row r="3" spans="1:18" x14ac:dyDescent="0.2">
      <c r="A3" s="20"/>
      <c r="B3" s="20" t="s">
        <v>17</v>
      </c>
      <c r="C3" s="20" t="s">
        <v>15</v>
      </c>
      <c r="D3" s="20" t="s">
        <v>16</v>
      </c>
      <c r="E3" s="20" t="s">
        <v>15</v>
      </c>
      <c r="F3" s="20" t="s">
        <v>16</v>
      </c>
      <c r="G3" s="20" t="s">
        <v>15</v>
      </c>
      <c r="H3" s="20" t="s">
        <v>16</v>
      </c>
      <c r="I3" s="20" t="s">
        <v>15</v>
      </c>
      <c r="J3" s="20" t="s">
        <v>16</v>
      </c>
      <c r="K3" s="20" t="s">
        <v>15</v>
      </c>
      <c r="L3" s="20" t="s">
        <v>16</v>
      </c>
      <c r="M3" s="20" t="s">
        <v>15</v>
      </c>
      <c r="N3" s="20" t="s">
        <v>16</v>
      </c>
      <c r="O3" s="3"/>
      <c r="P3" s="3"/>
      <c r="Q3" s="3"/>
      <c r="R3" s="3"/>
    </row>
    <row r="4" spans="1:18" x14ac:dyDescent="0.2">
      <c r="A4" s="23">
        <v>1</v>
      </c>
      <c r="B4" s="20" t="s">
        <v>11</v>
      </c>
      <c r="C4" s="32">
        <f>0.003106</f>
        <v>3.1059999999999998E-3</v>
      </c>
      <c r="D4" s="32">
        <f>0.000433</f>
        <v>4.3300000000000001E-4</v>
      </c>
      <c r="E4" s="32">
        <f>0.052248</f>
        <v>5.2248000000000003E-2</v>
      </c>
      <c r="F4" s="32">
        <f>0.000455</f>
        <v>4.55E-4</v>
      </c>
      <c r="G4" s="32">
        <f>0.103673</f>
        <v>0.103673</v>
      </c>
      <c r="H4" s="32">
        <f>0.050732</f>
        <v>5.0731999999999999E-2</v>
      </c>
      <c r="I4" s="32">
        <f>0.106104</f>
        <v>0.106104</v>
      </c>
      <c r="J4" s="32">
        <f>0.04941</f>
        <v>4.9410000000000003E-2</v>
      </c>
      <c r="K4" s="32">
        <f>0.109358</f>
        <v>0.109358</v>
      </c>
      <c r="L4" s="32">
        <f>0.039978</f>
        <v>3.9978E-2</v>
      </c>
      <c r="M4" s="32"/>
      <c r="N4" s="32"/>
      <c r="O4" s="3"/>
      <c r="P4" s="3"/>
      <c r="Q4" s="3"/>
      <c r="R4" s="3"/>
    </row>
    <row r="5" spans="1:18" x14ac:dyDescent="0.2">
      <c r="A5" s="23"/>
      <c r="B5" s="20" t="s">
        <v>12</v>
      </c>
      <c r="C5" s="32">
        <f>0.000816</f>
        <v>8.1599999999999999E-4</v>
      </c>
      <c r="D5" s="32">
        <f>0.000404</f>
        <v>4.0400000000000001E-4</v>
      </c>
      <c r="E5" s="32">
        <f>0.001587</f>
        <v>1.5870000000000001E-3</v>
      </c>
      <c r="F5" s="32">
        <f>0.000415</f>
        <v>4.15E-4</v>
      </c>
      <c r="G5" s="32">
        <f>0.00154</f>
        <v>1.5399999999999999E-3</v>
      </c>
      <c r="H5" s="32">
        <f>0.000417</f>
        <v>4.17E-4</v>
      </c>
      <c r="I5" s="32">
        <f>0.001457</f>
        <v>1.457E-3</v>
      </c>
      <c r="J5" s="32">
        <f>0.000407</f>
        <v>4.0700000000000003E-4</v>
      </c>
      <c r="K5" s="32">
        <f>0.002318</f>
        <v>2.3180000000000002E-3</v>
      </c>
      <c r="L5" s="32">
        <f>0.000408</f>
        <v>4.08E-4</v>
      </c>
      <c r="M5" s="32"/>
      <c r="N5" s="32"/>
      <c r="O5" s="3"/>
      <c r="P5" s="3"/>
      <c r="Q5" s="3"/>
      <c r="R5" s="3"/>
    </row>
    <row r="6" spans="1:18" x14ac:dyDescent="0.2">
      <c r="A6" s="23"/>
      <c r="B6" s="20" t="s">
        <v>13</v>
      </c>
      <c r="C6" s="32">
        <f>0.001961</f>
        <v>1.9610000000000001E-3</v>
      </c>
      <c r="D6" s="32">
        <f>0.000418</f>
        <v>4.1800000000000002E-4</v>
      </c>
      <c r="E6" s="32">
        <f>0.039027</f>
        <v>3.9026999999999999E-2</v>
      </c>
      <c r="F6" s="32">
        <f>0.000439</f>
        <v>4.3899999999999999E-4</v>
      </c>
      <c r="G6" s="32">
        <f>0.090062</f>
        <v>9.0062000000000003E-2</v>
      </c>
      <c r="H6" s="32">
        <f>0.012998</f>
        <v>1.2997999999999999E-2</v>
      </c>
      <c r="I6" s="32">
        <f>0.098192</f>
        <v>9.8192000000000002E-2</v>
      </c>
      <c r="J6" s="32">
        <f>0.006578</f>
        <v>6.5779999999999996E-3</v>
      </c>
      <c r="K6" s="32">
        <f>0.104333</f>
        <v>0.104333</v>
      </c>
      <c r="L6" s="32">
        <f>0.003312</f>
        <v>3.3119999999999998E-3</v>
      </c>
      <c r="M6" s="32"/>
      <c r="N6" s="32"/>
      <c r="O6" s="3"/>
      <c r="P6" s="3"/>
      <c r="Q6" s="3"/>
      <c r="R6" s="3"/>
    </row>
    <row r="7" spans="1:18" x14ac:dyDescent="0.2">
      <c r="A7" s="23">
        <v>10</v>
      </c>
      <c r="B7" s="20" t="s">
        <v>11</v>
      </c>
      <c r="C7" s="32">
        <f>0.026328</f>
        <v>2.6328000000000001E-2</v>
      </c>
      <c r="D7" s="32">
        <f>0.003539</f>
        <v>3.539E-3</v>
      </c>
      <c r="E7" s="32">
        <f>0.057194</f>
        <v>5.7194000000000002E-2</v>
      </c>
      <c r="F7" s="32">
        <f>0.00374</f>
        <v>3.7399999999999998E-3</v>
      </c>
      <c r="G7" s="32">
        <f>0.06002</f>
        <v>6.0019999999999997E-2</v>
      </c>
      <c r="H7" s="32">
        <f>0.004552</f>
        <v>4.5519999999999996E-3</v>
      </c>
      <c r="I7" s="32">
        <f>0.054136</f>
        <v>5.4135999999999997E-2</v>
      </c>
      <c r="J7" s="32">
        <f>0.055448</f>
        <v>5.5447999999999997E-2</v>
      </c>
      <c r="K7" s="32">
        <f>0.052233</f>
        <v>5.2233000000000002E-2</v>
      </c>
      <c r="L7" s="32">
        <f>0.048269</f>
        <v>4.8268999999999999E-2</v>
      </c>
      <c r="M7" s="32"/>
      <c r="N7" s="32"/>
      <c r="O7" s="3"/>
      <c r="P7" s="3"/>
      <c r="Q7" s="3"/>
      <c r="R7" s="3"/>
    </row>
    <row r="8" spans="1:18" x14ac:dyDescent="0.2">
      <c r="A8" s="23"/>
      <c r="B8" s="20" t="s">
        <v>12</v>
      </c>
      <c r="C8" s="32">
        <f>0.003297</f>
        <v>3.297E-3</v>
      </c>
      <c r="D8" s="32">
        <f>0.003527</f>
        <v>3.5270000000000002E-3</v>
      </c>
      <c r="E8" s="32">
        <f>0.006915</f>
        <v>6.9150000000000001E-3</v>
      </c>
      <c r="F8" s="32">
        <f>0.003521</f>
        <v>3.5209999999999998E-3</v>
      </c>
      <c r="G8" s="32">
        <f>0.007914</f>
        <v>7.9139999999999992E-3</v>
      </c>
      <c r="H8" s="32">
        <f>0.003502</f>
        <v>3.5019999999999999E-3</v>
      </c>
      <c r="I8" s="32">
        <f>0.004801</f>
        <v>4.8009999999999997E-3</v>
      </c>
      <c r="J8" s="32">
        <f>0.0035</f>
        <v>3.5000000000000001E-3</v>
      </c>
      <c r="K8" s="32">
        <f>0.004652</f>
        <v>4.6519999999999999E-3</v>
      </c>
      <c r="L8" s="32">
        <f>0.003498</f>
        <v>3.4979999999999998E-3</v>
      </c>
      <c r="M8" s="32"/>
      <c r="N8" s="32"/>
      <c r="O8" s="3"/>
      <c r="P8" s="3"/>
      <c r="Q8" s="3"/>
      <c r="R8" s="3"/>
    </row>
    <row r="9" spans="1:18" x14ac:dyDescent="0.2">
      <c r="A9" s="23"/>
      <c r="B9" s="20" t="s">
        <v>13</v>
      </c>
      <c r="C9" s="32">
        <f>0.014813</f>
        <v>1.4813E-2</v>
      </c>
      <c r="D9" s="32">
        <f>0.003533</f>
        <v>3.5330000000000001E-3</v>
      </c>
      <c r="E9" s="32">
        <f>0.037798</f>
        <v>3.7797999999999998E-2</v>
      </c>
      <c r="F9" s="32">
        <f>0.003577</f>
        <v>3.5769999999999999E-3</v>
      </c>
      <c r="G9" s="32">
        <f>0.050018</f>
        <v>5.0018E-2</v>
      </c>
      <c r="H9" s="32">
        <f>0.003646</f>
        <v>3.6459999999999999E-3</v>
      </c>
      <c r="I9" s="32">
        <f>0.030959</f>
        <v>3.0959E-2</v>
      </c>
      <c r="J9" s="32">
        <f>0.00691</f>
        <v>6.9100000000000003E-3</v>
      </c>
      <c r="K9" s="32">
        <f>0.03467</f>
        <v>3.4669999999999999E-2</v>
      </c>
      <c r="L9" s="32">
        <f>0.00686</f>
        <v>6.8599999999999998E-3</v>
      </c>
      <c r="M9" s="32"/>
      <c r="N9" s="32"/>
      <c r="O9" s="3"/>
      <c r="P9" s="3"/>
      <c r="Q9" s="3"/>
      <c r="R9" s="3"/>
    </row>
    <row r="10" spans="1:18" x14ac:dyDescent="0.2">
      <c r="A10" s="23">
        <v>100</v>
      </c>
      <c r="B10" s="20" t="s">
        <v>11</v>
      </c>
      <c r="C10" s="32">
        <f>0.247488</f>
        <v>0.24748800000000001</v>
      </c>
      <c r="D10" s="32">
        <f>0.035555</f>
        <v>3.5555000000000003E-2</v>
      </c>
      <c r="E10" s="32">
        <f>0.322779</f>
        <v>0.32277899999999998</v>
      </c>
      <c r="F10" s="32">
        <f>0.042312</f>
        <v>4.2312000000000002E-2</v>
      </c>
      <c r="G10" s="32">
        <f>0.325938</f>
        <v>0.32593800000000001</v>
      </c>
      <c r="H10" s="32">
        <f>0.087438</f>
        <v>8.7438000000000002E-2</v>
      </c>
      <c r="I10" s="32">
        <f>0.354113</f>
        <v>0.35411300000000001</v>
      </c>
      <c r="J10" s="32">
        <f>0.103755</f>
        <v>0.103755</v>
      </c>
      <c r="K10" s="32">
        <f>0.358151</f>
        <v>0.358151</v>
      </c>
      <c r="L10" s="32">
        <f>0.098009</f>
        <v>9.8008999999999999E-2</v>
      </c>
      <c r="M10" s="32"/>
      <c r="N10" s="32"/>
      <c r="O10" s="3"/>
      <c r="P10" s="3"/>
      <c r="Q10" s="3"/>
      <c r="R10" s="3"/>
    </row>
    <row r="11" spans="1:18" x14ac:dyDescent="0.2">
      <c r="A11" s="23"/>
      <c r="B11" s="20" t="s">
        <v>12</v>
      </c>
      <c r="C11" s="32">
        <f>0.02715</f>
        <v>2.7150000000000001E-2</v>
      </c>
      <c r="D11" s="32">
        <f>0.035555</f>
        <v>3.5555000000000003E-2</v>
      </c>
      <c r="E11" s="32">
        <f>0.04627</f>
        <v>4.6269999999999999E-2</v>
      </c>
      <c r="F11" s="32">
        <f>0.035181</f>
        <v>3.5180999999999997E-2</v>
      </c>
      <c r="G11" s="32">
        <f>0.056577</f>
        <v>5.6577000000000002E-2</v>
      </c>
      <c r="H11" s="32">
        <f>0.035211</f>
        <v>3.5210999999999999E-2</v>
      </c>
      <c r="I11" s="32">
        <f>0.039286</f>
        <v>3.9286000000000001E-2</v>
      </c>
      <c r="J11" s="32">
        <f>0.035116</f>
        <v>3.5116000000000001E-2</v>
      </c>
      <c r="K11" s="32">
        <f>0.03726</f>
        <v>3.7260000000000001E-2</v>
      </c>
      <c r="L11" s="32">
        <f>0.035066</f>
        <v>3.5066E-2</v>
      </c>
      <c r="M11" s="32"/>
      <c r="N11" s="32"/>
      <c r="O11" s="3"/>
      <c r="P11" s="3"/>
      <c r="Q11" s="3"/>
      <c r="R11" s="3"/>
    </row>
    <row r="12" spans="1:18" x14ac:dyDescent="0.2">
      <c r="A12" s="23"/>
      <c r="B12" s="20" t="s">
        <v>13</v>
      </c>
      <c r="C12" s="32">
        <f>0.137319</f>
        <v>0.137319</v>
      </c>
      <c r="D12" s="32">
        <f xml:space="preserve"> 0.035555</f>
        <v>3.5555000000000003E-2</v>
      </c>
      <c r="E12" s="32">
        <f>0.252592</f>
        <v>0.25259199999999998</v>
      </c>
      <c r="F12" s="32">
        <f>0.03714</f>
        <v>3.7139999999999999E-2</v>
      </c>
      <c r="G12" s="32">
        <f>0.291272</f>
        <v>0.29127199999999998</v>
      </c>
      <c r="H12" s="32">
        <f>0.048351</f>
        <v>4.8350999999999998E-2</v>
      </c>
      <c r="I12" s="32">
        <f>0.300945</f>
        <v>0.30094500000000002</v>
      </c>
      <c r="J12" s="32">
        <f>0.040296</f>
        <v>4.0295999999999998E-2</v>
      </c>
      <c r="K12" s="32">
        <f>0.330593</f>
        <v>0.33059300000000003</v>
      </c>
      <c r="L12" s="32">
        <f>0.038582</f>
        <v>3.8581999999999998E-2</v>
      </c>
      <c r="M12" s="32"/>
      <c r="N12" s="32"/>
      <c r="O12" s="3"/>
      <c r="P12" s="3"/>
      <c r="Q12" s="3"/>
      <c r="R12" s="3"/>
    </row>
    <row r="13" spans="1:18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25" t="s">
        <v>18</v>
      </c>
      <c r="C15" s="26"/>
      <c r="D15" s="26"/>
      <c r="E15" s="26"/>
      <c r="F15" s="26"/>
      <c r="G15" s="26"/>
      <c r="H15" s="27"/>
      <c r="I15" s="3"/>
      <c r="J15" s="28" t="s">
        <v>19</v>
      </c>
      <c r="K15" s="29"/>
      <c r="L15" s="29"/>
      <c r="M15" s="29"/>
      <c r="N15" s="29"/>
      <c r="O15" s="29"/>
      <c r="P15" s="30"/>
      <c r="Q15" s="3"/>
      <c r="R15" s="3"/>
    </row>
    <row r="16" spans="1:18" x14ac:dyDescent="0.2">
      <c r="A16" s="3"/>
      <c r="B16" s="31"/>
      <c r="C16" s="31">
        <v>2</v>
      </c>
      <c r="D16" s="31">
        <v>4</v>
      </c>
      <c r="E16" s="31">
        <v>8</v>
      </c>
      <c r="F16" s="31">
        <v>16</v>
      </c>
      <c r="G16" s="31">
        <v>28</v>
      </c>
      <c r="H16" s="31">
        <v>56</v>
      </c>
      <c r="I16" s="3"/>
      <c r="J16" s="31"/>
      <c r="K16" s="31">
        <v>2</v>
      </c>
      <c r="L16" s="31">
        <v>4</v>
      </c>
      <c r="M16" s="31">
        <v>8</v>
      </c>
      <c r="N16" s="31">
        <v>16</v>
      </c>
      <c r="O16" s="31">
        <v>28</v>
      </c>
      <c r="P16" s="31">
        <v>56</v>
      </c>
      <c r="Q16" s="3"/>
      <c r="R16" s="3"/>
    </row>
    <row r="17" spans="1:18" x14ac:dyDescent="0.2">
      <c r="A17" s="3"/>
      <c r="B17" s="31">
        <v>10</v>
      </c>
      <c r="C17" s="24">
        <f>C6</f>
        <v>1.9610000000000001E-3</v>
      </c>
      <c r="D17" s="24">
        <f>E6</f>
        <v>3.9026999999999999E-2</v>
      </c>
      <c r="E17" s="24">
        <f>G6</f>
        <v>9.0062000000000003E-2</v>
      </c>
      <c r="F17" s="24">
        <f>I6</f>
        <v>9.8192000000000002E-2</v>
      </c>
      <c r="G17" s="24">
        <f>K6</f>
        <v>0.104333</v>
      </c>
      <c r="H17" s="24">
        <f>M6</f>
        <v>0</v>
      </c>
      <c r="I17" s="3"/>
      <c r="J17" s="31">
        <v>10</v>
      </c>
      <c r="K17" s="24">
        <f>D6</f>
        <v>4.1800000000000002E-4</v>
      </c>
      <c r="L17" s="24">
        <f>F6</f>
        <v>4.3899999999999999E-4</v>
      </c>
      <c r="M17" s="24">
        <f>H6</f>
        <v>1.2997999999999999E-2</v>
      </c>
      <c r="N17" s="24">
        <f>J6</f>
        <v>6.5779999999999996E-3</v>
      </c>
      <c r="O17" s="24">
        <f>L6</f>
        <v>3.3119999999999998E-3</v>
      </c>
      <c r="P17" s="24">
        <f>N6</f>
        <v>0</v>
      </c>
      <c r="Q17" s="3"/>
      <c r="R17" s="3"/>
    </row>
    <row r="18" spans="1:18" x14ac:dyDescent="0.2">
      <c r="A18" s="3"/>
      <c r="B18" s="31">
        <v>10</v>
      </c>
      <c r="C18" s="24">
        <f>C9</f>
        <v>1.4813E-2</v>
      </c>
      <c r="D18" s="24">
        <f>E9</f>
        <v>3.7797999999999998E-2</v>
      </c>
      <c r="E18" s="24">
        <f>G9</f>
        <v>5.0018E-2</v>
      </c>
      <c r="F18" s="24">
        <f>I9</f>
        <v>3.0959E-2</v>
      </c>
      <c r="G18" s="24">
        <f>K9</f>
        <v>3.4669999999999999E-2</v>
      </c>
      <c r="H18" s="24">
        <f>M9</f>
        <v>0</v>
      </c>
      <c r="I18" s="3"/>
      <c r="J18" s="31">
        <v>10</v>
      </c>
      <c r="K18" s="24">
        <f>D9</f>
        <v>3.5330000000000001E-3</v>
      </c>
      <c r="L18" s="24">
        <f>F9</f>
        <v>3.5769999999999999E-3</v>
      </c>
      <c r="M18" s="24">
        <f>H9</f>
        <v>3.6459999999999999E-3</v>
      </c>
      <c r="N18" s="24">
        <f>J9</f>
        <v>6.9100000000000003E-3</v>
      </c>
      <c r="O18" s="24">
        <f>L9</f>
        <v>6.8599999999999998E-3</v>
      </c>
      <c r="P18" s="24">
        <f>N9</f>
        <v>0</v>
      </c>
      <c r="Q18" s="3"/>
      <c r="R18" s="3"/>
    </row>
    <row r="19" spans="1:18" x14ac:dyDescent="0.2">
      <c r="A19" s="3"/>
      <c r="B19" s="31">
        <v>100</v>
      </c>
      <c r="C19" s="24">
        <f>C12</f>
        <v>0.137319</v>
      </c>
      <c r="D19" s="24">
        <f>E12</f>
        <v>0.25259199999999998</v>
      </c>
      <c r="E19" s="24">
        <f>G12</f>
        <v>0.29127199999999998</v>
      </c>
      <c r="F19" s="24">
        <f>I12</f>
        <v>0.30094500000000002</v>
      </c>
      <c r="G19" s="24">
        <f>K12</f>
        <v>0.33059300000000003</v>
      </c>
      <c r="H19" s="24">
        <f>M12</f>
        <v>0</v>
      </c>
      <c r="I19" s="3"/>
      <c r="J19" s="31">
        <v>100</v>
      </c>
      <c r="K19" s="24">
        <f>D12</f>
        <v>3.5555000000000003E-2</v>
      </c>
      <c r="L19" s="24">
        <f>F12</f>
        <v>3.7139999999999999E-2</v>
      </c>
      <c r="M19" s="24">
        <f>H12</f>
        <v>4.8350999999999998E-2</v>
      </c>
      <c r="N19" s="24">
        <f>J12</f>
        <v>4.0295999999999998E-2</v>
      </c>
      <c r="O19" s="24">
        <f>L12</f>
        <v>3.8581999999999998E-2</v>
      </c>
      <c r="P19" s="24">
        <f>N12</f>
        <v>0</v>
      </c>
      <c r="Q19" s="3"/>
      <c r="R19" s="3"/>
    </row>
    <row r="20" spans="1:18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</sheetData>
  <mergeCells count="11">
    <mergeCell ref="I2:J2"/>
    <mergeCell ref="K2:L2"/>
    <mergeCell ref="M2:N2"/>
    <mergeCell ref="B15:H15"/>
    <mergeCell ref="J15:P15"/>
    <mergeCell ref="A4:A6"/>
    <mergeCell ref="A7:A9"/>
    <mergeCell ref="A10:A12"/>
    <mergeCell ref="C2:D2"/>
    <mergeCell ref="E2:F2"/>
    <mergeCell ref="G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Ping-pong</vt:lpstr>
      <vt:lpstr>Broadcast - Reduce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2019-11-17T22:45:44Z</dcterms:created>
  <dcterms:modified xsi:type="dcterms:W3CDTF">2019-11-19T06:06:44Z</dcterms:modified>
</cp:coreProperties>
</file>