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\II ano\II Semestre\Mecanica dos fluidos\Pratica\"/>
    </mc:Choice>
  </mc:AlternateContent>
  <xr:revisionPtr revIDLastSave="0" documentId="8_{2009A457-0E0C-4E74-ADE8-BD12940115D4}" xr6:coauthVersionLast="47" xr6:coauthVersionMax="47" xr10:uidLastSave="{00000000-0000-0000-0000-000000000000}"/>
  <bookViews>
    <workbookView xWindow="-108" yWindow="-108" windowWidth="23256" windowHeight="13896" xr2:uid="{47F76BDD-02AC-4C0E-AD3C-230D6FE765F9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E67" i="1"/>
  <c r="E66" i="1"/>
  <c r="E65" i="1"/>
  <c r="E64" i="1"/>
  <c r="E63" i="1"/>
  <c r="F63" i="1" s="1"/>
  <c r="X65" i="1"/>
  <c r="X64" i="1"/>
  <c r="X61" i="1"/>
  <c r="V66" i="1"/>
  <c r="V65" i="1"/>
  <c r="V64" i="1"/>
  <c r="V61" i="1"/>
  <c r="T66" i="1"/>
  <c r="T65" i="1"/>
  <c r="T64" i="1"/>
  <c r="T61" i="1"/>
  <c r="R66" i="1"/>
  <c r="R65" i="1"/>
  <c r="R64" i="1"/>
  <c r="R61" i="1"/>
  <c r="I28" i="1"/>
  <c r="I30" i="1"/>
  <c r="I29" i="1"/>
  <c r="E54" i="1" l="1"/>
  <c r="E55" i="1"/>
  <c r="E56" i="1"/>
  <c r="E57" i="1"/>
  <c r="E58" i="1"/>
  <c r="E53" i="1"/>
  <c r="G11" i="1"/>
  <c r="G12" i="1"/>
  <c r="G13" i="1"/>
  <c r="G14" i="1"/>
  <c r="G10" i="1"/>
  <c r="H10" i="1" s="1"/>
  <c r="E11" i="1"/>
  <c r="E12" i="1"/>
  <c r="E13" i="1"/>
  <c r="E14" i="1"/>
  <c r="E10" i="1"/>
  <c r="C11" i="1"/>
  <c r="C12" i="1"/>
  <c r="C13" i="1"/>
  <c r="C14" i="1"/>
  <c r="C10" i="1"/>
  <c r="D10" i="1" s="1"/>
  <c r="A11" i="1"/>
  <c r="A12" i="1"/>
  <c r="A13" i="1"/>
  <c r="A14" i="1"/>
  <c r="A10" i="1"/>
  <c r="L28" i="1"/>
  <c r="K28" i="1"/>
  <c r="J25" i="1"/>
  <c r="J28" i="1"/>
  <c r="I25" i="1"/>
  <c r="B43" i="1"/>
  <c r="B42" i="1"/>
  <c r="J30" i="1"/>
  <c r="K30" i="1"/>
  <c r="L30" i="1"/>
  <c r="J29" i="1"/>
  <c r="K29" i="1"/>
  <c r="L29" i="1"/>
  <c r="K25" i="1"/>
  <c r="L25" i="1"/>
  <c r="B10" i="1" l="1"/>
  <c r="F10" i="1"/>
  <c r="F53" i="1"/>
  <c r="C21" i="1"/>
  <c r="J36" i="1"/>
  <c r="C18" i="1"/>
  <c r="C17" i="1"/>
  <c r="C19" i="1"/>
  <c r="C20" i="1"/>
  <c r="E21" i="1"/>
  <c r="E19" i="1"/>
  <c r="E17" i="1"/>
  <c r="E20" i="1"/>
  <c r="E18" i="1"/>
  <c r="G20" i="1"/>
  <c r="G18" i="1"/>
  <c r="G17" i="1"/>
  <c r="G21" i="1"/>
  <c r="G19" i="1"/>
  <c r="A19" i="1"/>
  <c r="A20" i="1"/>
  <c r="A21" i="1"/>
  <c r="A18" i="1"/>
  <c r="A17" i="1"/>
  <c r="B17" i="1" s="1"/>
  <c r="D42" i="1"/>
  <c r="D43" i="1"/>
  <c r="F43" i="1" l="1"/>
  <c r="F42" i="1"/>
  <c r="J49" i="1"/>
  <c r="D17" i="1"/>
  <c r="F45" i="1"/>
  <c r="T54" i="1" l="1"/>
  <c r="T55" i="1"/>
  <c r="I37" i="1"/>
  <c r="I50" i="1" s="1"/>
  <c r="I36" i="1"/>
  <c r="I49" i="1" s="1"/>
  <c r="J37" i="1"/>
  <c r="J50" i="1" s="1"/>
  <c r="I41" i="1"/>
  <c r="I42" i="1"/>
  <c r="I27" i="1" s="1"/>
  <c r="I45" i="1" l="1"/>
  <c r="T63" i="1"/>
  <c r="T71" i="1"/>
  <c r="T77" i="1"/>
  <c r="T70" i="1"/>
  <c r="T76" i="1"/>
  <c r="T62" i="1"/>
  <c r="I26" i="1"/>
  <c r="I46" i="1"/>
  <c r="L36" i="1"/>
  <c r="L37" i="1"/>
  <c r="K37" i="1"/>
  <c r="K36" i="1"/>
  <c r="K49" i="1" s="1"/>
  <c r="K42" i="1" l="1"/>
  <c r="K50" i="1"/>
  <c r="L42" i="1"/>
  <c r="L50" i="1"/>
  <c r="L41" i="1"/>
  <c r="L49" i="1"/>
  <c r="M49" i="1" s="1"/>
  <c r="L26" i="1"/>
  <c r="L45" i="1"/>
  <c r="L46" i="1"/>
  <c r="L27" i="1"/>
  <c r="R54" i="1"/>
  <c r="R76" i="1" s="1"/>
  <c r="R55" i="1"/>
  <c r="J42" i="1"/>
  <c r="K41" i="1"/>
  <c r="K27" i="1" s="1"/>
  <c r="H17" i="1"/>
  <c r="F17" i="1"/>
  <c r="J41" i="1"/>
  <c r="J26" i="1"/>
  <c r="R63" i="1" l="1"/>
  <c r="R71" i="1"/>
  <c r="R77" i="1"/>
  <c r="R70" i="1"/>
  <c r="R62" i="1"/>
  <c r="AC37" i="1" a="1"/>
  <c r="AC37" i="1" s="1"/>
  <c r="M50" i="1"/>
  <c r="J45" i="1"/>
  <c r="AC44" i="1" a="1"/>
  <c r="AC44" i="1" s="1"/>
  <c r="AJ7" i="1" a="1"/>
  <c r="AJ7" i="1" s="1"/>
  <c r="AC7" i="1" a="1"/>
  <c r="AC7" i="1" s="1"/>
  <c r="AC30" i="1" a="1"/>
  <c r="AC30" i="1" s="1"/>
  <c r="X55" i="1"/>
  <c r="X54" i="1"/>
  <c r="J46" i="1"/>
  <c r="J27" i="1"/>
  <c r="V54" i="1"/>
  <c r="V55" i="1"/>
  <c r="K26" i="1"/>
  <c r="AC15" i="1" s="1" a="1"/>
  <c r="AC15" i="1" s="1"/>
  <c r="K45" i="1"/>
  <c r="K46" i="1"/>
  <c r="V63" i="1" l="1"/>
  <c r="V71" i="1"/>
  <c r="V77" i="1"/>
  <c r="V70" i="1"/>
  <c r="V76" i="1"/>
  <c r="X62" i="1"/>
  <c r="X70" i="1"/>
  <c r="X76" i="1"/>
  <c r="X71" i="1"/>
  <c r="X77" i="1"/>
  <c r="Z77" i="1"/>
  <c r="V62" i="1"/>
  <c r="X63" i="1"/>
  <c r="AC22" i="1" a="1"/>
  <c r="AC22" i="1" s="1"/>
  <c r="AJ22" i="1" a="1"/>
  <c r="AJ22" i="1" s="1"/>
  <c r="AJ15" i="1" a="1"/>
  <c r="AJ15" i="1" s="1"/>
  <c r="Z7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<sst xmlns="http://schemas.openxmlformats.org/spreadsheetml/2006/main" count="232" uniqueCount="104">
  <si>
    <t>Caudal 1</t>
  </si>
  <si>
    <t>Caudal 2</t>
  </si>
  <si>
    <t>Caudal 3</t>
  </si>
  <si>
    <t>Caudal 4</t>
  </si>
  <si>
    <t>volume (cm^3)</t>
  </si>
  <si>
    <t>Tempo (s)</t>
  </si>
  <si>
    <t xml:space="preserve">volume </t>
  </si>
  <si>
    <t>meter unidades nos gráficos</t>
  </si>
  <si>
    <t>caudal 1</t>
  </si>
  <si>
    <t xml:space="preserve">caudal 2 </t>
  </si>
  <si>
    <t>caudal 3</t>
  </si>
  <si>
    <t>caudal 4</t>
  </si>
  <si>
    <t>delta m 0,021</t>
  </si>
  <si>
    <t>Longa</t>
  </si>
  <si>
    <t>caudal</t>
  </si>
  <si>
    <t>caudal médio (m^3/s)</t>
  </si>
  <si>
    <t>caudal médio</t>
  </si>
  <si>
    <t>erro</t>
  </si>
  <si>
    <t>erro médio</t>
  </si>
  <si>
    <t>Alargamento</t>
  </si>
  <si>
    <t>Contração</t>
  </si>
  <si>
    <t>Tubos/Curvas</t>
  </si>
  <si>
    <t>P± 0,05 (mm H2O)</t>
  </si>
  <si>
    <t>tubos/curvas</t>
  </si>
  <si>
    <t>Hl (m H2O)</t>
  </si>
  <si>
    <t>caudal 2</t>
  </si>
  <si>
    <t>curva longa</t>
  </si>
  <si>
    <t>1--&gt;2</t>
  </si>
  <si>
    <t>alargamento</t>
  </si>
  <si>
    <t>2--&gt;3</t>
  </si>
  <si>
    <t>contração</t>
  </si>
  <si>
    <t>4--&gt;5</t>
  </si>
  <si>
    <t>curva apertada</t>
  </si>
  <si>
    <t>5--&gt;6</t>
  </si>
  <si>
    <t>curva em cotovelo</t>
  </si>
  <si>
    <t>7--&gt;8</t>
  </si>
  <si>
    <t>curve em mitra</t>
  </si>
  <si>
    <t>11--&gt;12</t>
  </si>
  <si>
    <t>curva em mitra</t>
  </si>
  <si>
    <t>Apertada</t>
  </si>
  <si>
    <t>9(=2)</t>
  </si>
  <si>
    <t>10(=5)</t>
  </si>
  <si>
    <t>velocidade (m/s)</t>
  </si>
  <si>
    <t>Area estreita</t>
  </si>
  <si>
    <t>Area larga</t>
  </si>
  <si>
    <t>Cotovelo</t>
  </si>
  <si>
    <t>v^2/(2g) (m)</t>
  </si>
  <si>
    <t>densidade da agua (Kg/m^3)</t>
  </si>
  <si>
    <t>aceleração gravitica (m/s^2)</t>
  </si>
  <si>
    <t>Area da secçao estreita (m^2)</t>
  </si>
  <si>
    <t>raio estreito (m)</t>
  </si>
  <si>
    <t>diametro estreito (in)</t>
  </si>
  <si>
    <t>area da secçao longa (m^2)</t>
  </si>
  <si>
    <t>raio largo(m)</t>
  </si>
  <si>
    <t>diametro largo(in)</t>
  </si>
  <si>
    <t>Mitra</t>
  </si>
  <si>
    <t>Temperatura da água</t>
  </si>
  <si>
    <t>20 ºC</t>
  </si>
  <si>
    <t>β=diâmetro pequeno/ diâmetro grande</t>
  </si>
  <si>
    <t>Viscosidade dinâmica</t>
  </si>
  <si>
    <t>mPa.s</t>
  </si>
  <si>
    <t>Reynolds</t>
  </si>
  <si>
    <t>Médio</t>
  </si>
  <si>
    <t>Area larfa</t>
  </si>
  <si>
    <t>K exp</t>
  </si>
  <si>
    <t>Erro associado</t>
  </si>
  <si>
    <t>K teorico</t>
  </si>
  <si>
    <t>Desvio experimental  (%)</t>
  </si>
  <si>
    <t>Erro médio (%)</t>
  </si>
  <si>
    <t>v (m/s)</t>
  </si>
  <si>
    <t>Erro</t>
  </si>
  <si>
    <r>
      <t>H</t>
    </r>
    <r>
      <rPr>
        <sz val="8"/>
        <color rgb="FF444444"/>
        <rFont val="Calibri"/>
        <family val="2"/>
      </rPr>
      <t>l</t>
    </r>
    <r>
      <rPr>
        <sz val="11"/>
        <color rgb="FF444444"/>
        <rFont val="Calibri"/>
        <family val="2"/>
      </rPr>
      <t xml:space="preserve"> (m H2O)</t>
    </r>
  </si>
  <si>
    <t>0,016</t>
  </si>
  <si>
    <t>0,019</t>
  </si>
  <si>
    <t>0,018</t>
  </si>
  <si>
    <t>0,012</t>
  </si>
  <si>
    <t>0,015</t>
  </si>
  <si>
    <t>0,017</t>
  </si>
  <si>
    <t>0,029</t>
  </si>
  <si>
    <t>0,034</t>
  </si>
  <si>
    <t>0,037</t>
  </si>
  <si>
    <t>0,038</t>
  </si>
  <si>
    <t>0,052</t>
  </si>
  <si>
    <t>0,051</t>
  </si>
  <si>
    <t>0,054</t>
  </si>
  <si>
    <t>0,055</t>
  </si>
  <si>
    <t>0,061</t>
  </si>
  <si>
    <t>0,063</t>
  </si>
  <si>
    <t>0,064</t>
  </si>
  <si>
    <t>v (m)</t>
  </si>
  <si>
    <t> </t>
  </si>
  <si>
    <t>Média</t>
  </si>
  <si>
    <t>Área Estreita</t>
  </si>
  <si>
    <t>1,57E+04</t>
  </si>
  <si>
    <t>1,64E+04</t>
  </si>
  <si>
    <t>1,68E+04</t>
  </si>
  <si>
    <t>1,76E+04</t>
  </si>
  <si>
    <t>1,66E+04</t>
  </si>
  <si>
    <t>Área Larga</t>
  </si>
  <si>
    <t>1,17E+04</t>
  </si>
  <si>
    <t>1,22E+04</t>
  </si>
  <si>
    <t>1,25E+04</t>
  </si>
  <si>
    <t>1,31E+04</t>
  </si>
  <si>
    <t>1,24E+04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</si>
</sst>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E+00"/>
    <numFmt numFmtId="165" formatCode="0.0E+00"/>
    <numFmt numFmtId="166" formatCode="0.0"/>
    <numFmt numFmtId="167" formatCode="_(* #,##0.000_);_(* \(#,##0.000\);_(* &quot;-&quot;??_);_(@_)"/>
    <numFmt numFmtId="168" formatCode="_(* #,##0.0000_);_(* \(#,##0.0000\);_(* &quot;-&quot;??_);_(@_)"/>
    <numFmt numFmtId="169" formatCode="_(* #,##0_);_(* \(#,##0\);_(* &quot;-&quot;??_);_(@_)"/>
    <numFmt numFmtId="170" formatCode="0.0000"/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444444"/>
      <name val="Calibri"/>
      <family val="2"/>
    </font>
    <font>
      <sz val="11"/>
      <color rgb="FF44444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16" fontId="0" fillId="0" borderId="0" xfId="0" applyNumberFormat="1"/>
    <xf numFmtId="0" fontId="0" fillId="0" borderId="0" xfId="0" applyAlignment="1">
      <alignment vertical="center"/>
    </xf>
    <xf numFmtId="0" fontId="0" fillId="0" borderId="7" xfId="0" applyBorder="1"/>
    <xf numFmtId="11" fontId="0" fillId="0" borderId="0" xfId="0" applyNumberFormat="1"/>
    <xf numFmtId="11" fontId="0" fillId="0" borderId="1" xfId="0" applyNumberFormat="1" applyBorder="1"/>
    <xf numFmtId="11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11" fontId="0" fillId="5" borderId="0" xfId="0" applyNumberFormat="1" applyFill="1"/>
    <xf numFmtId="165" fontId="0" fillId="5" borderId="0" xfId="0" applyNumberFormat="1" applyFill="1"/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15" xfId="0" applyBorder="1"/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0" borderId="22" xfId="0" applyFont="1" applyBorder="1"/>
    <xf numFmtId="0" fontId="2" fillId="0" borderId="22" xfId="0" applyFont="1" applyBorder="1"/>
    <xf numFmtId="0" fontId="2" fillId="7" borderId="12" xfId="0" applyFont="1" applyFill="1" applyBorder="1"/>
    <xf numFmtId="165" fontId="2" fillId="0" borderId="22" xfId="0" applyNumberFormat="1" applyFont="1" applyBorder="1"/>
    <xf numFmtId="167" fontId="0" fillId="0" borderId="20" xfId="0" applyNumberFormat="1" applyBorder="1" applyAlignment="1">
      <alignment horizontal="center" vertical="center"/>
    </xf>
    <xf numFmtId="168" fontId="0" fillId="0" borderId="20" xfId="0" applyNumberFormat="1" applyBorder="1" applyAlignment="1">
      <alignment horizontal="center" vertical="center"/>
    </xf>
    <xf numFmtId="167" fontId="0" fillId="0" borderId="21" xfId="0" applyNumberFormat="1" applyBorder="1" applyAlignment="1">
      <alignment horizontal="left" vertical="center"/>
    </xf>
    <xf numFmtId="167" fontId="0" fillId="0" borderId="9" xfId="0" applyNumberFormat="1" applyBorder="1" applyAlignment="1">
      <alignment horizontal="center" vertical="center"/>
    </xf>
    <xf numFmtId="0" fontId="2" fillId="6" borderId="0" xfId="0" applyFont="1" applyFill="1"/>
    <xf numFmtId="0" fontId="2" fillId="7" borderId="22" xfId="0" applyFont="1" applyFill="1" applyBorder="1"/>
    <xf numFmtId="0" fontId="2" fillId="7" borderId="7" xfId="0" applyFont="1" applyFill="1" applyBorder="1"/>
    <xf numFmtId="169" fontId="2" fillId="0" borderId="22" xfId="0" applyNumberFormat="1" applyFont="1" applyBorder="1"/>
    <xf numFmtId="167" fontId="0" fillId="0" borderId="21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171" fontId="0" fillId="0" borderId="7" xfId="0" applyNumberFormat="1" applyBorder="1" applyAlignment="1">
      <alignment horizontal="center" vertical="center"/>
    </xf>
    <xf numFmtId="171" fontId="0" fillId="2" borderId="7" xfId="0" applyNumberFormat="1" applyFill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2" fillId="6" borderId="8" xfId="0" applyFont="1" applyFill="1" applyBorder="1"/>
    <xf numFmtId="0" fontId="2" fillId="6" borderId="12" xfId="0" applyFont="1" applyFill="1" applyBorder="1"/>
    <xf numFmtId="0" fontId="2" fillId="7" borderId="11" xfId="0" applyFont="1" applyFill="1" applyBorder="1"/>
    <xf numFmtId="0" fontId="2" fillId="7" borderId="13" xfId="0" applyFont="1" applyFill="1" applyBorder="1"/>
    <xf numFmtId="0" fontId="2" fillId="7" borderId="1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Curva</a:t>
            </a:r>
            <a:r>
              <a:rPr lang="en-GB" baseline="0"/>
              <a:t> em cotovelo</a:t>
            </a:r>
          </a:p>
        </c:rich>
      </c:tx>
      <c:layout>
        <c:manualLayout>
          <c:xMode val="edge"/>
          <c:yMode val="edge"/>
          <c:x val="0.360451224846894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1408148808578724E-2"/>
                  <c:y val="-0.191717111611908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Folha1!$I$41:$L$41</c:f>
              <c:numCache>
                <c:formatCode>0.00E+00</c:formatCode>
                <c:ptCount val="4"/>
                <c:pt idx="0">
                  <c:v>3.281740810203336E-2</c:v>
                </c:pt>
                <c:pt idx="1">
                  <c:v>3.5793205701742103E-2</c:v>
                </c:pt>
                <c:pt idx="2">
                  <c:v>3.7632070819698125E-2</c:v>
                </c:pt>
                <c:pt idx="3">
                  <c:v>4.1598193645797824E-2</c:v>
                </c:pt>
              </c:numCache>
            </c:numRef>
          </c:xVal>
          <c:yVal>
            <c:numRef>
              <c:f>Folha1!$I$29:$L$29</c:f>
              <c:numCache>
                <c:formatCode>0.0000</c:formatCode>
                <c:ptCount val="4"/>
                <c:pt idx="0">
                  <c:v>5.2000000000000005E-2</c:v>
                </c:pt>
                <c:pt idx="1">
                  <c:v>5.1000000000000004E-2</c:v>
                </c:pt>
                <c:pt idx="2">
                  <c:v>5.3999999999999999E-2</c:v>
                </c:pt>
                <c:pt idx="3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C-4583-B1F4-13EDD10A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38832"/>
        <c:axId val="633933584"/>
      </c:scatterChart>
      <c:valAx>
        <c:axId val="6339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v^2/(2g)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33584"/>
        <c:crosses val="autoZero"/>
        <c:crossBetween val="midCat"/>
      </c:valAx>
      <c:valAx>
        <c:axId val="6339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Apertada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0442465091594686E-2"/>
                  <c:y val="-0.175174613414156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Folha1!$I$41:$L$41</c:f>
              <c:numCache>
                <c:formatCode>0.00E+00</c:formatCode>
                <c:ptCount val="4"/>
                <c:pt idx="0">
                  <c:v>3.281740810203336E-2</c:v>
                </c:pt>
                <c:pt idx="1">
                  <c:v>3.5793205701742103E-2</c:v>
                </c:pt>
                <c:pt idx="2">
                  <c:v>3.7632070819698125E-2</c:v>
                </c:pt>
                <c:pt idx="3">
                  <c:v>4.1598193645797824E-2</c:v>
                </c:pt>
              </c:numCache>
            </c:numRef>
          </c:xVal>
          <c:yVal>
            <c:numRef>
              <c:f>Folha1!$I$28:$L$28</c:f>
              <c:numCache>
                <c:formatCode>0.0000</c:formatCode>
                <c:ptCount val="4"/>
                <c:pt idx="0">
                  <c:v>2.9000000000000001E-2</c:v>
                </c:pt>
                <c:pt idx="1">
                  <c:v>3.4000000000000002E-2</c:v>
                </c:pt>
                <c:pt idx="2">
                  <c:v>3.6999999999999998E-2</c:v>
                </c:pt>
                <c:pt idx="3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B0-4E3C-9C62-25E88609D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69152"/>
        <c:axId val="427267512"/>
      </c:scatterChart>
      <c:valAx>
        <c:axId val="4272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v^2/(2g)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67512"/>
        <c:crosses val="autoZero"/>
        <c:crossBetween val="midCat"/>
      </c:valAx>
      <c:valAx>
        <c:axId val="42726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6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Curva em mitra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9112165739273695E-2"/>
                  <c:y val="-0.18557471141041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Folha1!$I$41:$L$41</c:f>
              <c:numCache>
                <c:formatCode>0.00E+00</c:formatCode>
                <c:ptCount val="4"/>
                <c:pt idx="0">
                  <c:v>3.281740810203336E-2</c:v>
                </c:pt>
                <c:pt idx="1">
                  <c:v>3.5793205701742103E-2</c:v>
                </c:pt>
                <c:pt idx="2">
                  <c:v>3.7632070819698125E-2</c:v>
                </c:pt>
                <c:pt idx="3">
                  <c:v>4.1598193645797824E-2</c:v>
                </c:pt>
              </c:numCache>
            </c:numRef>
          </c:xVal>
          <c:yVal>
            <c:numRef>
              <c:f>Folha1!$I$30:$L$30</c:f>
              <c:numCache>
                <c:formatCode>0.0000</c:formatCode>
                <c:ptCount val="4"/>
                <c:pt idx="0">
                  <c:v>5.5E-2</c:v>
                </c:pt>
                <c:pt idx="1">
                  <c:v>6.0999999999999999E-2</c:v>
                </c:pt>
                <c:pt idx="2">
                  <c:v>6.3E-2</c:v>
                </c:pt>
                <c:pt idx="3">
                  <c:v>6.4000000000000001E-2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2-44C7-AFBE-1D971C64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43392"/>
        <c:axId val="513244704"/>
      </c:scatterChart>
      <c:valAx>
        <c:axId val="51324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v^2/(2g)</a:t>
                </a:r>
                <a:r>
                  <a:rPr lang="en-GB" baseline="0"/>
                  <a:t> /m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44704"/>
        <c:crosses val="autoZero"/>
        <c:crossBetween val="midCat"/>
      </c:valAx>
      <c:valAx>
        <c:axId val="5132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4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Alargamento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42821780766444"/>
          <c:y val="0.14324493654641701"/>
          <c:w val="0.7891550743657043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2.6238022307919988E-2"/>
                  <c:y val="-0.17802936625611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Folha1!$I$41:$L$41</c:f>
              <c:numCache>
                <c:formatCode>0.00E+00</c:formatCode>
                <c:ptCount val="4"/>
                <c:pt idx="0">
                  <c:v>3.281740810203336E-2</c:v>
                </c:pt>
                <c:pt idx="1">
                  <c:v>3.5793205701742103E-2</c:v>
                </c:pt>
                <c:pt idx="2">
                  <c:v>3.7632070819698125E-2</c:v>
                </c:pt>
                <c:pt idx="3">
                  <c:v>4.1598193645797824E-2</c:v>
                </c:pt>
              </c:numCache>
            </c:numRef>
          </c:xVal>
          <c:yVal>
            <c:numRef>
              <c:f>Folha1!$I$26:$L$26</c:f>
              <c:numCache>
                <c:formatCode>0.0000</c:formatCode>
                <c:ptCount val="4"/>
                <c:pt idx="0">
                  <c:v>1.1697525181922876E-2</c:v>
                </c:pt>
                <c:pt idx="1">
                  <c:v>1.4755677999649813E-2</c:v>
                </c:pt>
                <c:pt idx="2">
                  <c:v>1.6027493470000143E-2</c:v>
                </c:pt>
                <c:pt idx="3">
                  <c:v>1.8770585564296866E-2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2-4D0F-B4C8-73264CBE5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16200"/>
        <c:axId val="633912264"/>
      </c:scatterChart>
      <c:valAx>
        <c:axId val="63391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v^2/(2g)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12264"/>
        <c:crosses val="autoZero"/>
        <c:crossBetween val="midCat"/>
      </c:valAx>
      <c:valAx>
        <c:axId val="63391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16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5.6391400083348163E-2"/>
                  <c:y val="-0.177907433984785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Folha1!$I$41:$L$41</c:f>
              <c:numCache>
                <c:formatCode>0.00E+00</c:formatCode>
                <c:ptCount val="4"/>
                <c:pt idx="0">
                  <c:v>3.281740810203336E-2</c:v>
                </c:pt>
                <c:pt idx="1">
                  <c:v>3.5793205701742103E-2</c:v>
                </c:pt>
                <c:pt idx="2">
                  <c:v>3.7632070819698125E-2</c:v>
                </c:pt>
                <c:pt idx="3">
                  <c:v>4.1598193645797824E-2</c:v>
                </c:pt>
              </c:numCache>
            </c:numRef>
          </c:xVal>
          <c:yVal>
            <c:numRef>
              <c:f>Folha1!$I$27:$L$27</c:f>
              <c:numCache>
                <c:formatCode>0.0000</c:formatCode>
                <c:ptCount val="4"/>
                <c:pt idx="0">
                  <c:v>1.8302474818077126E-2</c:v>
                </c:pt>
                <c:pt idx="1">
                  <c:v>1.7244322000350185E-2</c:v>
                </c:pt>
                <c:pt idx="2">
                  <c:v>1.5972506529999854E-2</c:v>
                </c:pt>
                <c:pt idx="3">
                  <c:v>1.522941443570313E-2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1-443E-ABE3-B9643CB9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14560"/>
        <c:axId val="633928992"/>
      </c:scatterChart>
      <c:valAx>
        <c:axId val="63391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v^2/(2g)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28992"/>
        <c:crosses val="autoZero"/>
        <c:crossBetween val="midCat"/>
      </c:valAx>
      <c:valAx>
        <c:axId val="6339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1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Curva Longa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6031289807819"/>
          <c:y val="0.13445005224533926"/>
          <c:w val="0.7891550743657043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2.6804070512942219E-2"/>
                  <c:y val="-0.226177689179393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Folha1!$I$41:$L$41</c:f>
              <c:numCache>
                <c:formatCode>0.00E+00</c:formatCode>
                <c:ptCount val="4"/>
                <c:pt idx="0">
                  <c:v>3.281740810203336E-2</c:v>
                </c:pt>
                <c:pt idx="1">
                  <c:v>3.5793205701742103E-2</c:v>
                </c:pt>
                <c:pt idx="2">
                  <c:v>3.7632070819698125E-2</c:v>
                </c:pt>
                <c:pt idx="3">
                  <c:v>4.1598193645797824E-2</c:v>
                </c:pt>
              </c:numCache>
            </c:numRef>
          </c:xVal>
          <c:yVal>
            <c:numRef>
              <c:f>Folha1!$I$25:$L$25</c:f>
              <c:numCache>
                <c:formatCode>0.0000</c:formatCode>
                <c:ptCount val="4"/>
                <c:pt idx="0">
                  <c:v>1.6E-2</c:v>
                </c:pt>
                <c:pt idx="1">
                  <c:v>1.9E-2</c:v>
                </c:pt>
                <c:pt idx="2">
                  <c:v>1.9E-2</c:v>
                </c:pt>
                <c:pt idx="3">
                  <c:v>1.8000000000000002E-2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EB-479E-85BA-83BAAE088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16200"/>
        <c:axId val="633912264"/>
      </c:scatterChart>
      <c:valAx>
        <c:axId val="63391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v^2/(2g) /m</a:t>
                </a:r>
              </a:p>
            </c:rich>
          </c:tx>
          <c:layout>
            <c:manualLayout>
              <c:xMode val="edge"/>
              <c:yMode val="edge"/>
              <c:x val="0.44036606714462873"/>
              <c:y val="0.9196661432963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12264"/>
        <c:crosses val="autoZero"/>
        <c:crossBetween val="midCat"/>
      </c:valAx>
      <c:valAx>
        <c:axId val="63391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16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486221</xdr:colOff>
      <xdr:row>16</xdr:row>
      <xdr:rowOff>83885</xdr:rowOff>
    </xdr:from>
    <xdr:to>
      <xdr:col>27</xdr:col>
      <xdr:colOff>194533</xdr:colOff>
      <xdr:row>30</xdr:row>
      <xdr:rowOff>7204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491E75-99E1-421E-99BD-9FF833B72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466726</xdr:colOff>
      <xdr:row>0</xdr:row>
      <xdr:rowOff>134471</xdr:rowOff>
    </xdr:from>
    <xdr:to>
      <xdr:col>27</xdr:col>
      <xdr:colOff>185856</xdr:colOff>
      <xdr:row>14</xdr:row>
      <xdr:rowOff>152400</xdr:rowOff>
    </xdr:to>
    <xdr:graphicFrame macro="">
      <xdr:nvGraphicFramePr>
        <xdr:cNvPr id="12" name="Gráfico 4">
          <a:extLst>
            <a:ext uri="{FF2B5EF4-FFF2-40B4-BE49-F238E27FC236}">
              <a16:creationId xmlns:a16="http://schemas.microsoft.com/office/drawing/2014/main" id="{E5C93B0E-E2AF-42DB-BF0A-45110908DBB9}"/>
            </a:ext>
            <a:ext uri="{147F2762-F138-4A5C-976F-8EAC2B608ADB}">
              <a16:predDERef xmlns:a16="http://schemas.microsoft.com/office/drawing/2014/main" pred="{7C491E75-99E1-421E-99BD-9FF833B72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518647</xdr:colOff>
      <xdr:row>31</xdr:row>
      <xdr:rowOff>162071</xdr:rowOff>
    </xdr:from>
    <xdr:to>
      <xdr:col>27</xdr:col>
      <xdr:colOff>237885</xdr:colOff>
      <xdr:row>45</xdr:row>
      <xdr:rowOff>98278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CEE2986-4B96-4CDB-B91B-B33216C2B983}"/>
            </a:ext>
            <a:ext uri="{147F2762-F138-4A5C-976F-8EAC2B608ADB}">
              <a16:predDERef xmlns:a16="http://schemas.microsoft.com/office/drawing/2014/main" pred="{E5C93B0E-E2AF-42DB-BF0A-45110908D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564613</xdr:colOff>
      <xdr:row>15</xdr:row>
      <xdr:rowOff>143595</xdr:rowOff>
    </xdr:from>
    <xdr:to>
      <xdr:col>19</xdr:col>
      <xdr:colOff>402897</xdr:colOff>
      <xdr:row>30</xdr:row>
      <xdr:rowOff>61311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75BAC5F-2827-42DA-B7BD-0C13A9E5E636}"/>
            </a:ext>
            <a:ext uri="{147F2762-F138-4A5C-976F-8EAC2B608ADB}">
              <a16:predDERef xmlns:a16="http://schemas.microsoft.com/office/drawing/2014/main" pred="{6CEE2986-4B96-4CDB-B91B-B33216C2B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531958</xdr:colOff>
      <xdr:row>31</xdr:row>
      <xdr:rowOff>39380</xdr:rowOff>
    </xdr:from>
    <xdr:to>
      <xdr:col>19</xdr:col>
      <xdr:colOff>263017</xdr:colOff>
      <xdr:row>45</xdr:row>
      <xdr:rowOff>10645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B874BD2-35E0-4789-9464-B872BCCBF6EA}"/>
            </a:ext>
            <a:ext uri="{147F2762-F138-4A5C-976F-8EAC2B608ADB}">
              <a16:predDERef xmlns:a16="http://schemas.microsoft.com/office/drawing/2014/main" pred="{C75BAC5F-2827-42DA-B7BD-0C13A9E5E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0</xdr:row>
      <xdr:rowOff>152400</xdr:rowOff>
    </xdr:from>
    <xdr:to>
      <xdr:col>19</xdr:col>
      <xdr:colOff>419100</xdr:colOff>
      <xdr:row>15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460E700-17AD-417C-9169-304F3A47AD80}"/>
            </a:ext>
            <a:ext uri="{147F2762-F138-4A5C-976F-8EAC2B608ADB}">
              <a16:predDERef xmlns:a16="http://schemas.microsoft.com/office/drawing/2014/main" pred="{9B874BD2-35E0-4789-9464-B872BCCBF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69DB-EC61-43FF-BDDB-E1D4DC5EA277}">
  <dimension ref="A1:AK77"/>
  <sheetViews>
    <sheetView tabSelected="1" topLeftCell="A24" zoomScale="87" zoomScaleNormal="87" workbookViewId="0">
      <selection activeCell="A63" sqref="A63:F69"/>
    </sheetView>
  </sheetViews>
  <sheetFormatPr defaultRowHeight="14.4" x14ac:dyDescent="0.3"/>
  <cols>
    <col min="1" max="1" width="27.109375" customWidth="1"/>
    <col min="2" max="2" width="20.109375" customWidth="1"/>
    <col min="3" max="3" width="17.6640625" customWidth="1"/>
    <col min="4" max="4" width="17.33203125" customWidth="1"/>
    <col min="5" max="5" width="22.109375" customWidth="1"/>
    <col min="6" max="6" width="16.6640625" customWidth="1"/>
    <col min="7" max="7" width="10.44140625" customWidth="1"/>
    <col min="8" max="8" width="17.5546875" customWidth="1"/>
    <col min="9" max="9" width="12.88671875" customWidth="1"/>
    <col min="10" max="10" width="11.109375" customWidth="1"/>
    <col min="11" max="11" width="14.5546875" customWidth="1"/>
    <col min="12" max="12" width="11.5546875" customWidth="1"/>
    <col min="13" max="13" width="9.109375" customWidth="1"/>
    <col min="14" max="14" width="18.33203125" customWidth="1"/>
    <col min="15" max="15" width="8.88671875" customWidth="1"/>
    <col min="16" max="16" width="12.44140625" bestFit="1" customWidth="1"/>
    <col min="18" max="18" width="12.44140625" bestFit="1" customWidth="1"/>
    <col min="19" max="19" width="8.88671875" bestFit="1" customWidth="1"/>
    <col min="20" max="20" width="13.44140625" customWidth="1"/>
    <col min="29" max="29" width="20.109375" customWidth="1"/>
  </cols>
  <sheetData>
    <row r="1" spans="1:37" x14ac:dyDescent="0.3">
      <c r="A1" s="64" t="s">
        <v>0</v>
      </c>
      <c r="B1" s="64"/>
      <c r="C1" s="64" t="s">
        <v>1</v>
      </c>
      <c r="D1" s="64"/>
      <c r="E1" s="64" t="s">
        <v>2</v>
      </c>
      <c r="F1" s="64"/>
      <c r="G1" s="64" t="s">
        <v>3</v>
      </c>
      <c r="H1" s="64"/>
    </row>
    <row r="2" spans="1:37" x14ac:dyDescent="0.3">
      <c r="A2" s="25" t="s">
        <v>4</v>
      </c>
      <c r="B2" s="25" t="s">
        <v>5</v>
      </c>
      <c r="C2" s="25" t="s">
        <v>6</v>
      </c>
      <c r="D2" s="25" t="s">
        <v>5</v>
      </c>
      <c r="E2" s="25" t="s">
        <v>6</v>
      </c>
      <c r="F2" s="25" t="s">
        <v>5</v>
      </c>
      <c r="G2" s="25" t="s">
        <v>6</v>
      </c>
      <c r="H2" s="25" t="s">
        <v>5</v>
      </c>
      <c r="J2" s="5"/>
    </row>
    <row r="3" spans="1:37" x14ac:dyDescent="0.3">
      <c r="A3" s="25">
        <v>1600</v>
      </c>
      <c r="B3" s="25">
        <v>6.76</v>
      </c>
      <c r="C3" s="25">
        <v>875</v>
      </c>
      <c r="D3" s="25">
        <v>3.49</v>
      </c>
      <c r="E3" s="25">
        <v>1100</v>
      </c>
      <c r="F3" s="25">
        <v>4.21</v>
      </c>
      <c r="G3" s="25">
        <v>720</v>
      </c>
      <c r="H3" s="25">
        <v>2.7</v>
      </c>
    </row>
    <row r="4" spans="1:37" x14ac:dyDescent="0.3">
      <c r="A4" s="25">
        <v>1550</v>
      </c>
      <c r="B4" s="25">
        <v>6.32</v>
      </c>
      <c r="C4" s="25">
        <v>900</v>
      </c>
      <c r="D4" s="25">
        <v>3.44</v>
      </c>
      <c r="E4" s="25">
        <v>760</v>
      </c>
      <c r="F4" s="25">
        <v>2.92</v>
      </c>
      <c r="G4" s="25">
        <v>760</v>
      </c>
      <c r="H4" s="25">
        <v>2.71</v>
      </c>
    </row>
    <row r="5" spans="1:37" x14ac:dyDescent="0.3">
      <c r="A5" s="25">
        <v>1375</v>
      </c>
      <c r="B5" s="25">
        <v>5.99</v>
      </c>
      <c r="C5" s="25">
        <v>950</v>
      </c>
      <c r="D5" s="25">
        <v>3.63</v>
      </c>
      <c r="E5" s="25">
        <v>950</v>
      </c>
      <c r="F5" s="25">
        <v>3.49</v>
      </c>
      <c r="G5" s="25">
        <v>1000</v>
      </c>
      <c r="H5" s="25">
        <v>3.81</v>
      </c>
      <c r="AC5" t="s">
        <v>7</v>
      </c>
    </row>
    <row r="6" spans="1:37" x14ac:dyDescent="0.3">
      <c r="A6" s="25">
        <v>1400</v>
      </c>
      <c r="B6" s="25">
        <v>5.6</v>
      </c>
      <c r="C6" s="25">
        <v>875</v>
      </c>
      <c r="D6" s="25">
        <v>3.49</v>
      </c>
      <c r="E6" s="25">
        <v>800</v>
      </c>
      <c r="F6" s="25">
        <v>3.29</v>
      </c>
      <c r="G6" s="25">
        <v>800</v>
      </c>
      <c r="H6" s="25">
        <v>2.96</v>
      </c>
    </row>
    <row r="7" spans="1:37" x14ac:dyDescent="0.3">
      <c r="A7" s="25">
        <v>1500</v>
      </c>
      <c r="B7" s="25">
        <v>6.04</v>
      </c>
      <c r="C7" s="25">
        <v>900</v>
      </c>
      <c r="D7" s="25">
        <v>3.77</v>
      </c>
      <c r="E7" s="25">
        <v>1125</v>
      </c>
      <c r="F7" s="25">
        <v>4.3499999999999996</v>
      </c>
      <c r="G7" s="25">
        <v>875</v>
      </c>
      <c r="H7" s="25">
        <v>3.1</v>
      </c>
      <c r="AC7" cm="1">
        <f t="array" ref="AC7:AD11">LINEST(I25:L25,I41:L41,FALSE,TRUE)</f>
        <v>0.48484338618661099</v>
      </c>
      <c r="AD7">
        <v>0</v>
      </c>
      <c r="AJ7" cm="1">
        <f t="array" ref="AJ7:AK11">LINEST(I25:L25,I41:L41,FALSE,TRUE)</f>
        <v>0.48484338618661099</v>
      </c>
      <c r="AK7">
        <v>0</v>
      </c>
    </row>
    <row r="8" spans="1:37" x14ac:dyDescent="0.3">
      <c r="A8" s="64" t="s">
        <v>8</v>
      </c>
      <c r="B8" s="64"/>
      <c r="C8" s="64" t="s">
        <v>9</v>
      </c>
      <c r="D8" s="64"/>
      <c r="E8" s="64" t="s">
        <v>10</v>
      </c>
      <c r="F8" s="64"/>
      <c r="G8" s="64" t="s">
        <v>11</v>
      </c>
      <c r="H8" s="64"/>
      <c r="AC8">
        <v>2.1994355603283808E-2</v>
      </c>
      <c r="AD8" t="e">
        <v>#N/A</v>
      </c>
      <c r="AF8" t="s">
        <v>12</v>
      </c>
      <c r="AH8" t="s">
        <v>13</v>
      </c>
      <c r="AJ8">
        <v>2.1994355603283808E-2</v>
      </c>
      <c r="AK8" t="e">
        <v>#N/A</v>
      </c>
    </row>
    <row r="9" spans="1:37" x14ac:dyDescent="0.3">
      <c r="A9" s="25" t="s">
        <v>14</v>
      </c>
      <c r="B9" s="25" t="s">
        <v>15</v>
      </c>
      <c r="C9" s="25" t="s">
        <v>14</v>
      </c>
      <c r="D9" s="25" t="s">
        <v>16</v>
      </c>
      <c r="E9" s="25" t="s">
        <v>14</v>
      </c>
      <c r="F9" s="25" t="s">
        <v>16</v>
      </c>
      <c r="G9" s="25" t="s">
        <v>14</v>
      </c>
      <c r="H9" s="25" t="s">
        <v>16</v>
      </c>
      <c r="AC9">
        <v>0.99386424717664956</v>
      </c>
      <c r="AD9">
        <v>1.6318445775667756E-3</v>
      </c>
      <c r="AJ9">
        <v>0.99386424717664956</v>
      </c>
      <c r="AK9">
        <v>1.6318445775667756E-3</v>
      </c>
    </row>
    <row r="10" spans="1:37" x14ac:dyDescent="0.3">
      <c r="A10" s="26">
        <f>A3/B3*10^-6</f>
        <v>2.3668639053254438E-4</v>
      </c>
      <c r="B10" s="62">
        <f>((A10+A11+A12+A13+A14)/5)</f>
        <v>2.4196663493966934E-4</v>
      </c>
      <c r="C10" s="26">
        <f>C3/D3*10^-6</f>
        <v>2.5071633237822347E-4</v>
      </c>
      <c r="D10" s="62">
        <f>((C10+C11+C12+C13+C14)/5)</f>
        <v>2.5269907023296712E-4</v>
      </c>
      <c r="E10" s="26">
        <f>E3/F3*10^-6</f>
        <v>2.6128266033254157E-4</v>
      </c>
      <c r="F10" s="62">
        <f>((E10+E11+E12+E13+E14)/5)</f>
        <v>2.5910894410806123E-4</v>
      </c>
      <c r="G10" s="26">
        <f>G3/H3*10^-6</f>
        <v>2.6666666666666663E-4</v>
      </c>
      <c r="H10" s="62">
        <f>((G10+G11+G12+G13+G14)/5)</f>
        <v>2.7242099949643201E-4</v>
      </c>
      <c r="AC10">
        <v>485.93755768372813</v>
      </c>
      <c r="AD10">
        <v>3</v>
      </c>
      <c r="AJ10">
        <v>485.93755768372813</v>
      </c>
      <c r="AK10">
        <v>3</v>
      </c>
    </row>
    <row r="11" spans="1:37" x14ac:dyDescent="0.3">
      <c r="A11" s="26">
        <f t="shared" ref="A11:A14" si="0">A4/B4*10^-6</f>
        <v>2.4525316455696199E-4</v>
      </c>
      <c r="B11" s="62"/>
      <c r="C11" s="26">
        <f t="shared" ref="C11:C14" si="1">C4/D4*10^-6</f>
        <v>2.616279069767442E-4</v>
      </c>
      <c r="D11" s="63"/>
      <c r="E11" s="26">
        <f t="shared" ref="E11:E14" si="2">E4/F4*10^-6</f>
        <v>2.6027397260273971E-4</v>
      </c>
      <c r="F11" s="63"/>
      <c r="G11" s="26">
        <f t="shared" ref="G11:G14" si="3">G4/H4*10^-6</f>
        <v>2.8044280442804425E-4</v>
      </c>
      <c r="H11" s="63"/>
      <c r="AC11">
        <v>1.2940112498239977E-3</v>
      </c>
      <c r="AD11">
        <v>7.9887501760022643E-6</v>
      </c>
      <c r="AJ11">
        <v>1.2940112498239977E-3</v>
      </c>
      <c r="AK11">
        <v>7.9887501760022643E-6</v>
      </c>
    </row>
    <row r="12" spans="1:37" x14ac:dyDescent="0.3">
      <c r="A12" s="26">
        <f t="shared" si="0"/>
        <v>2.2954924874791317E-4</v>
      </c>
      <c r="B12" s="62"/>
      <c r="C12" s="26">
        <f t="shared" si="1"/>
        <v>2.6170798898071624E-4</v>
      </c>
      <c r="D12" s="63"/>
      <c r="E12" s="26">
        <f t="shared" si="2"/>
        <v>2.7220630372492839E-4</v>
      </c>
      <c r="F12" s="63"/>
      <c r="G12" s="26">
        <f t="shared" si="3"/>
        <v>2.6246719160104987E-4</v>
      </c>
      <c r="H12" s="63"/>
    </row>
    <row r="13" spans="1:37" x14ac:dyDescent="0.3">
      <c r="A13" s="26">
        <f t="shared" si="0"/>
        <v>2.5000000000000001E-4</v>
      </c>
      <c r="B13" s="62"/>
      <c r="C13" s="26">
        <f t="shared" si="1"/>
        <v>2.5071633237822347E-4</v>
      </c>
      <c r="D13" s="63"/>
      <c r="E13" s="26">
        <f t="shared" si="2"/>
        <v>2.4316109422492399E-4</v>
      </c>
      <c r="F13" s="63"/>
      <c r="G13" s="26">
        <f t="shared" si="3"/>
        <v>2.7027027027027022E-4</v>
      </c>
      <c r="H13" s="63"/>
    </row>
    <row r="14" spans="1:37" x14ac:dyDescent="0.3">
      <c r="A14" s="26">
        <f t="shared" si="0"/>
        <v>2.4834437086092715E-4</v>
      </c>
      <c r="B14" s="62"/>
      <c r="C14" s="26">
        <f t="shared" si="1"/>
        <v>2.3872679045092838E-4</v>
      </c>
      <c r="D14" s="63"/>
      <c r="E14" s="26">
        <f t="shared" si="2"/>
        <v>2.5862068965517242E-4</v>
      </c>
      <c r="F14" s="63"/>
      <c r="G14" s="26">
        <f t="shared" si="3"/>
        <v>2.82258064516129E-4</v>
      </c>
      <c r="H14" s="63"/>
    </row>
    <row r="15" spans="1:37" x14ac:dyDescent="0.3">
      <c r="A15" s="64" t="s">
        <v>8</v>
      </c>
      <c r="B15" s="64"/>
      <c r="C15" s="64" t="s">
        <v>9</v>
      </c>
      <c r="D15" s="64"/>
      <c r="E15" s="64" t="s">
        <v>10</v>
      </c>
      <c r="F15" s="64"/>
      <c r="G15" s="64" t="s">
        <v>11</v>
      </c>
      <c r="H15" s="64"/>
      <c r="AC15" cm="1">
        <f t="array" ref="AC15:AD19">LINEST(I26:L26,I41:L41,FALSE,TRUE)</f>
        <v>0.4170977633268324</v>
      </c>
      <c r="AD15">
        <v>0</v>
      </c>
      <c r="AJ15" cm="1">
        <f t="array" ref="AJ15:AK19">LINEST(I26:L26,I41:L41,FALSE,TRUE)</f>
        <v>0.4170977633268324</v>
      </c>
      <c r="AK15">
        <v>0</v>
      </c>
    </row>
    <row r="16" spans="1:37" x14ac:dyDescent="0.3">
      <c r="A16" s="25" t="s">
        <v>17</v>
      </c>
      <c r="B16" s="25" t="s">
        <v>18</v>
      </c>
      <c r="C16" s="25" t="s">
        <v>17</v>
      </c>
      <c r="D16" s="25" t="s">
        <v>18</v>
      </c>
      <c r="E16" s="25" t="s">
        <v>17</v>
      </c>
      <c r="F16" s="25" t="s">
        <v>18</v>
      </c>
      <c r="G16" s="25" t="s">
        <v>17</v>
      </c>
      <c r="H16" s="25" t="s">
        <v>18</v>
      </c>
      <c r="AC16">
        <v>1.924872623901791E-2</v>
      </c>
      <c r="AD16" t="e">
        <v>#N/A</v>
      </c>
      <c r="AF16">
        <v>1.9E-2</v>
      </c>
      <c r="AH16" t="s">
        <v>19</v>
      </c>
      <c r="AJ16">
        <v>1.924872623901791E-2</v>
      </c>
      <c r="AK16" t="e">
        <v>#N/A</v>
      </c>
    </row>
    <row r="17" spans="1:37" x14ac:dyDescent="0.3">
      <c r="A17" s="26">
        <f>ABS($B$10-A10)</f>
        <v>5.2802444071249675E-6</v>
      </c>
      <c r="B17" s="65">
        <f>AVERAGE(A17:A21)</f>
        <v>7.0790522395524507E-6</v>
      </c>
      <c r="C17" s="26">
        <f>ABS($D$10-C10)</f>
        <v>1.9827378547436492E-6</v>
      </c>
      <c r="D17" s="65">
        <f>AVERAGE(C17:C21)</f>
        <v>7.1751021966104499E-6</v>
      </c>
      <c r="E17" s="25">
        <f>ABS($F$10-E10)</f>
        <v>2.1737162244803393E-6</v>
      </c>
      <c r="F17" s="65">
        <f>(E17+E18+E19+E20+E21)/5</f>
        <v>6.5744417344104062E-6</v>
      </c>
      <c r="G17" s="25">
        <f>ABS($H$10-G10)</f>
        <v>5.7543328297653888E-6</v>
      </c>
      <c r="H17" s="65">
        <f>(G17+G18+G19+G20+G21)/5</f>
        <v>7.1435479805237106E-6</v>
      </c>
      <c r="AC17">
        <v>0.99365131853277933</v>
      </c>
      <c r="AD17">
        <v>1.4281359319987972E-3</v>
      </c>
      <c r="AJ17">
        <v>0.99365131853277933</v>
      </c>
      <c r="AK17">
        <v>1.4281359319987972E-3</v>
      </c>
    </row>
    <row r="18" spans="1:37" x14ac:dyDescent="0.3">
      <c r="A18" s="26">
        <f t="shared" ref="A18:A21" si="4">ABS($B$10-A11)</f>
        <v>3.2865296172926439E-6</v>
      </c>
      <c r="B18" s="65"/>
      <c r="C18" s="26">
        <f t="shared" ref="C18:C21" si="5">ABS($D$10-C11)</f>
        <v>8.9288367437770832E-6</v>
      </c>
      <c r="D18" s="65"/>
      <c r="E18" s="25">
        <f t="shared" ref="E18:E21" si="6">ABS($F$10-E11)</f>
        <v>1.1650284946784794E-6</v>
      </c>
      <c r="F18" s="65"/>
      <c r="G18" s="25">
        <f t="shared" ref="G18:G21" si="7">ABS($H$10-G11)</f>
        <v>8.0218049316122322E-6</v>
      </c>
      <c r="H18" s="65"/>
      <c r="AC18">
        <v>469.53906429067035</v>
      </c>
      <c r="AD18">
        <v>3</v>
      </c>
      <c r="AJ18">
        <v>469.53906429067035</v>
      </c>
      <c r="AK18">
        <v>3</v>
      </c>
    </row>
    <row r="19" spans="1:37" x14ac:dyDescent="0.3">
      <c r="A19" s="26">
        <f t="shared" si="4"/>
        <v>1.2417386191756173E-5</v>
      </c>
      <c r="B19" s="65"/>
      <c r="C19" s="26">
        <f t="shared" si="5"/>
        <v>9.0089187477491225E-6</v>
      </c>
      <c r="D19" s="65"/>
      <c r="E19" s="25">
        <f t="shared" si="6"/>
        <v>1.3097359616867155E-5</v>
      </c>
      <c r="F19" s="65"/>
      <c r="G19" s="25">
        <f t="shared" si="7"/>
        <v>9.9538078953821489E-6</v>
      </c>
      <c r="H19" s="65"/>
      <c r="AC19">
        <v>9.5765884124775821E-4</v>
      </c>
      <c r="AD19">
        <v>6.1187167207982185E-6</v>
      </c>
      <c r="AJ19">
        <v>9.5765884124775821E-4</v>
      </c>
      <c r="AK19">
        <v>6.1187167207982185E-6</v>
      </c>
    </row>
    <row r="20" spans="1:37" x14ac:dyDescent="0.3">
      <c r="A20" s="26">
        <f t="shared" si="4"/>
        <v>8.0333650603306613E-6</v>
      </c>
      <c r="B20" s="65"/>
      <c r="C20" s="26">
        <f t="shared" si="5"/>
        <v>1.9827378547436492E-6</v>
      </c>
      <c r="D20" s="65"/>
      <c r="E20" s="25">
        <f t="shared" si="6"/>
        <v>1.5947849883137243E-5</v>
      </c>
      <c r="F20" s="65"/>
      <c r="G20" s="25">
        <f t="shared" si="7"/>
        <v>2.1507292261617938E-6</v>
      </c>
      <c r="H20" s="65"/>
    </row>
    <row r="21" spans="1:37" x14ac:dyDescent="0.3">
      <c r="A21" s="26">
        <f t="shared" si="4"/>
        <v>6.3777359212578081E-6</v>
      </c>
      <c r="B21" s="65"/>
      <c r="C21" s="26">
        <f t="shared" si="5"/>
        <v>1.3972279782038745E-5</v>
      </c>
      <c r="D21" s="65"/>
      <c r="E21" s="25">
        <f t="shared" si="6"/>
        <v>4.8825445288881242E-7</v>
      </c>
      <c r="F21" s="65"/>
      <c r="G21" s="25">
        <f t="shared" si="7"/>
        <v>9.8370650196969909E-6</v>
      </c>
      <c r="H21" s="65"/>
    </row>
    <row r="22" spans="1:37" x14ac:dyDescent="0.3">
      <c r="B22" s="27"/>
      <c r="AC22" cm="1">
        <f t="array" ref="AC22:AD26">LINEST(I27:L27,I41:L41,FALSE,TRUE)</f>
        <v>0.44552034020504039</v>
      </c>
      <c r="AD22">
        <v>0</v>
      </c>
      <c r="AH22" t="s">
        <v>20</v>
      </c>
      <c r="AJ22" cm="1">
        <f t="array" ref="AJ22:AK26">LINEST(I27:L27,I42:L42,FALSE,TRUE)</f>
        <v>1.4447620528505007</v>
      </c>
      <c r="AK22">
        <v>0</v>
      </c>
    </row>
    <row r="23" spans="1:37" ht="14.4" customHeight="1" x14ac:dyDescent="0.3">
      <c r="A23" s="60" t="s">
        <v>21</v>
      </c>
      <c r="B23" s="66" t="s">
        <v>22</v>
      </c>
      <c r="C23" s="67"/>
      <c r="D23" s="67"/>
      <c r="E23" s="68"/>
      <c r="H23" s="59" t="s">
        <v>23</v>
      </c>
      <c r="I23" s="57" t="s">
        <v>24</v>
      </c>
      <c r="J23" s="57"/>
      <c r="K23" s="57"/>
      <c r="L23" s="58"/>
      <c r="AC23">
        <v>4.0270083763817417E-2</v>
      </c>
      <c r="AD23" t="e">
        <v>#N/A</v>
      </c>
      <c r="AF23">
        <v>0.13</v>
      </c>
      <c r="AJ23">
        <v>0.1305904212146593</v>
      </c>
      <c r="AK23" t="e">
        <v>#N/A</v>
      </c>
    </row>
    <row r="24" spans="1:37" ht="15" thickBot="1" x14ac:dyDescent="0.35">
      <c r="A24" s="61"/>
      <c r="B24" s="10" t="s">
        <v>8</v>
      </c>
      <c r="C24" s="9" t="s">
        <v>25</v>
      </c>
      <c r="D24" s="9" t="s">
        <v>10</v>
      </c>
      <c r="E24" s="10" t="s">
        <v>11</v>
      </c>
      <c r="H24" s="59"/>
      <c r="I24" s="30" t="s">
        <v>0</v>
      </c>
      <c r="J24" s="31" t="s">
        <v>1</v>
      </c>
      <c r="K24" s="31" t="s">
        <v>2</v>
      </c>
      <c r="L24" s="31" t="s">
        <v>3</v>
      </c>
      <c r="AC24">
        <v>0.97607594148624399</v>
      </c>
      <c r="AD24">
        <v>2.9877900954885881E-3</v>
      </c>
      <c r="AJ24">
        <v>0.97607594148624399</v>
      </c>
      <c r="AK24">
        <v>2.9877900954885898E-3</v>
      </c>
    </row>
    <row r="25" spans="1:37" ht="15" thickBot="1" x14ac:dyDescent="0.35">
      <c r="A25" s="9">
        <v>1</v>
      </c>
      <c r="B25" s="4">
        <v>375</v>
      </c>
      <c r="C25" s="4">
        <v>360</v>
      </c>
      <c r="D25" s="4">
        <v>429</v>
      </c>
      <c r="E25" s="4">
        <v>403</v>
      </c>
      <c r="F25" t="s">
        <v>26</v>
      </c>
      <c r="G25" s="2" t="s">
        <v>27</v>
      </c>
      <c r="H25" s="32" t="s">
        <v>26</v>
      </c>
      <c r="I25" s="46">
        <f>(B25-B26)*10^-3</f>
        <v>1.6E-2</v>
      </c>
      <c r="J25" s="46">
        <f>(C25-C26)*10^-3</f>
        <v>1.9E-2</v>
      </c>
      <c r="K25" s="46">
        <f t="shared" ref="K25:L25" si="8">(D25-D26)*10^-3</f>
        <v>1.9E-2</v>
      </c>
      <c r="L25" s="46">
        <f t="shared" si="8"/>
        <v>1.8000000000000002E-2</v>
      </c>
      <c r="AC25">
        <v>122.39678408974973</v>
      </c>
      <c r="AD25">
        <v>3</v>
      </c>
      <c r="AJ25">
        <v>122.39678408974957</v>
      </c>
      <c r="AK25">
        <v>3</v>
      </c>
    </row>
    <row r="26" spans="1:37" ht="15" thickBot="1" x14ac:dyDescent="0.35">
      <c r="A26" s="8">
        <v>2</v>
      </c>
      <c r="B26" s="4">
        <v>359</v>
      </c>
      <c r="C26" s="4">
        <v>341</v>
      </c>
      <c r="D26" s="4">
        <v>410</v>
      </c>
      <c r="E26" s="4">
        <v>385</v>
      </c>
      <c r="F26" t="s">
        <v>28</v>
      </c>
      <c r="G26" s="2" t="s">
        <v>29</v>
      </c>
      <c r="H26" s="31" t="s">
        <v>28</v>
      </c>
      <c r="I26" s="47">
        <f>(B26-B27)*10^-3+I41-I42</f>
        <v>1.1697525181922876E-2</v>
      </c>
      <c r="J26" s="47">
        <f>(C26-C27)*10^-3+J41-J42</f>
        <v>1.4755677999649813E-2</v>
      </c>
      <c r="K26" s="47">
        <f>(D26-D27)*10^-3+K41-K42</f>
        <v>1.6027493470000143E-2</v>
      </c>
      <c r="L26" s="47">
        <f>(E26-E27)*10^-3+L41-L42</f>
        <v>1.8770585564296866E-2</v>
      </c>
      <c r="AC26">
        <v>1.0926225856593005E-3</v>
      </c>
      <c r="AD26">
        <v>2.678066896409912E-5</v>
      </c>
      <c r="AJ26">
        <v>1.0926225856593005E-3</v>
      </c>
      <c r="AK26">
        <v>2.6780668964099153E-5</v>
      </c>
    </row>
    <row r="27" spans="1:37" ht="15" thickBot="1" x14ac:dyDescent="0.35">
      <c r="A27" s="8">
        <v>3</v>
      </c>
      <c r="B27" s="4">
        <v>370</v>
      </c>
      <c r="C27" s="4">
        <v>351</v>
      </c>
      <c r="D27" s="4">
        <v>420</v>
      </c>
      <c r="E27" s="4">
        <v>395</v>
      </c>
      <c r="F27" t="s">
        <v>30</v>
      </c>
      <c r="G27" t="s">
        <v>31</v>
      </c>
      <c r="H27" s="31" t="s">
        <v>30</v>
      </c>
      <c r="I27" s="47">
        <f>((B28-B29)*10^-3)+(I42-I41)</f>
        <v>1.8302474818077126E-2</v>
      </c>
      <c r="J27" s="47">
        <f t="shared" ref="J27:L27" si="9">(C28-C29)*10^-3+J42-J41</f>
        <v>1.7244322000350185E-2</v>
      </c>
      <c r="K27" s="47">
        <f t="shared" si="9"/>
        <v>1.5972506529999854E-2</v>
      </c>
      <c r="L27" s="47">
        <f t="shared" si="9"/>
        <v>1.522941443570313E-2</v>
      </c>
    </row>
    <row r="28" spans="1:37" ht="15" thickBot="1" x14ac:dyDescent="0.35">
      <c r="A28" s="8">
        <v>4</v>
      </c>
      <c r="B28" s="4">
        <v>368</v>
      </c>
      <c r="C28" s="4">
        <v>352</v>
      </c>
      <c r="D28" s="4">
        <v>420</v>
      </c>
      <c r="E28" s="4">
        <v>394</v>
      </c>
      <c r="F28" t="s">
        <v>32</v>
      </c>
      <c r="G28" t="s">
        <v>33</v>
      </c>
      <c r="H28" s="31" t="s">
        <v>32</v>
      </c>
      <c r="I28" s="46">
        <f>(B29-B30)*10^-3</f>
        <v>2.9000000000000001E-2</v>
      </c>
      <c r="J28" s="46">
        <f>(C29-C30)*10^-3</f>
        <v>3.4000000000000002E-2</v>
      </c>
      <c r="K28" s="46">
        <f>(D29-D30)*10^-3</f>
        <v>3.6999999999999998E-2</v>
      </c>
      <c r="L28" s="46">
        <f>(E29-E30)*10^-3</f>
        <v>3.7999999999999999E-2</v>
      </c>
    </row>
    <row r="29" spans="1:37" ht="15" thickBot="1" x14ac:dyDescent="0.35">
      <c r="A29" s="8">
        <v>5</v>
      </c>
      <c r="B29" s="4">
        <v>327</v>
      </c>
      <c r="C29" s="4">
        <v>310</v>
      </c>
      <c r="D29" s="4">
        <v>378</v>
      </c>
      <c r="E29" s="4">
        <v>350</v>
      </c>
      <c r="F29" t="s">
        <v>34</v>
      </c>
      <c r="G29" t="s">
        <v>35</v>
      </c>
      <c r="H29" s="31" t="s">
        <v>34</v>
      </c>
      <c r="I29" s="46">
        <f>(B31-B32)*10^-3</f>
        <v>5.2000000000000005E-2</v>
      </c>
      <c r="J29" s="46">
        <f t="shared" ref="J29:L29" si="10">(C31-C32)*10^-3</f>
        <v>5.1000000000000004E-2</v>
      </c>
      <c r="K29" s="46">
        <f t="shared" si="10"/>
        <v>5.3999999999999999E-2</v>
      </c>
      <c r="L29" s="46">
        <f t="shared" si="10"/>
        <v>5.5E-2</v>
      </c>
    </row>
    <row r="30" spans="1:37" ht="15" thickBot="1" x14ac:dyDescent="0.35">
      <c r="A30" s="8">
        <v>6</v>
      </c>
      <c r="B30" s="4">
        <v>298</v>
      </c>
      <c r="C30" s="4">
        <v>276</v>
      </c>
      <c r="D30" s="4">
        <v>341</v>
      </c>
      <c r="E30" s="4">
        <v>312</v>
      </c>
      <c r="F30" t="s">
        <v>36</v>
      </c>
      <c r="G30" t="s">
        <v>37</v>
      </c>
      <c r="H30" s="31" t="s">
        <v>38</v>
      </c>
      <c r="I30" s="46">
        <f>(B35-B36)*10^-3</f>
        <v>5.5E-2</v>
      </c>
      <c r="J30" s="46">
        <f t="shared" ref="J30:L30" si="11">(C35-C36)*10^-3</f>
        <v>6.0999999999999999E-2</v>
      </c>
      <c r="K30" s="46">
        <f t="shared" si="11"/>
        <v>6.3E-2</v>
      </c>
      <c r="L30" s="46">
        <f t="shared" si="11"/>
        <v>6.4000000000000001E-2</v>
      </c>
      <c r="AC30" cm="1">
        <f t="array" ref="AC30:AD34">LINEST(I28:L28,I41:L41,FALSE,TRUE)</f>
        <v>0.93406992164169078</v>
      </c>
      <c r="AD30">
        <v>0</v>
      </c>
      <c r="AH30" t="s">
        <v>39</v>
      </c>
    </row>
    <row r="31" spans="1:37" ht="15" thickBot="1" x14ac:dyDescent="0.35">
      <c r="A31" s="8">
        <v>7</v>
      </c>
      <c r="B31" s="4">
        <v>282</v>
      </c>
      <c r="C31" s="4">
        <v>261</v>
      </c>
      <c r="D31" s="4">
        <v>329</v>
      </c>
      <c r="E31" s="4">
        <v>305</v>
      </c>
      <c r="G31" t="s">
        <v>40</v>
      </c>
      <c r="AC31">
        <v>2.089040920130069E-2</v>
      </c>
      <c r="AD31" t="e">
        <v>#N/A</v>
      </c>
      <c r="AF31">
        <v>2.1000000000000001E-2</v>
      </c>
    </row>
    <row r="32" spans="1:37" x14ac:dyDescent="0.3">
      <c r="A32" s="9">
        <v>8</v>
      </c>
      <c r="B32" s="4">
        <v>230</v>
      </c>
      <c r="C32" s="4">
        <v>210</v>
      </c>
      <c r="D32" s="4">
        <v>275</v>
      </c>
      <c r="E32" s="4">
        <v>250</v>
      </c>
      <c r="G32" t="s">
        <v>41</v>
      </c>
      <c r="AC32">
        <v>0.99850167794270417</v>
      </c>
      <c r="AD32">
        <v>1.5499386112136835E-3</v>
      </c>
    </row>
    <row r="33" spans="1:34" x14ac:dyDescent="0.3">
      <c r="A33" s="8">
        <v>9</v>
      </c>
      <c r="B33" s="4">
        <v>358</v>
      </c>
      <c r="C33" s="4">
        <v>341</v>
      </c>
      <c r="D33" s="4">
        <v>406</v>
      </c>
      <c r="E33" s="4">
        <v>381</v>
      </c>
      <c r="AC33">
        <v>1999.2397624008624</v>
      </c>
      <c r="AD33">
        <v>3</v>
      </c>
    </row>
    <row r="34" spans="1:34" x14ac:dyDescent="0.3">
      <c r="A34" s="8">
        <v>10</v>
      </c>
      <c r="B34" s="4">
        <v>325</v>
      </c>
      <c r="C34" s="4">
        <v>310</v>
      </c>
      <c r="D34" s="4">
        <v>373</v>
      </c>
      <c r="E34" s="4">
        <v>350</v>
      </c>
      <c r="H34" s="53"/>
      <c r="I34" s="54" t="s">
        <v>42</v>
      </c>
      <c r="J34" s="55"/>
      <c r="K34" s="55"/>
      <c r="L34" s="56"/>
      <c r="AC34">
        <v>4.802793070904407E-3</v>
      </c>
      <c r="AD34">
        <v>7.206929095593005E-6</v>
      </c>
    </row>
    <row r="35" spans="1:34" x14ac:dyDescent="0.3">
      <c r="A35" s="8">
        <v>11</v>
      </c>
      <c r="B35" s="4">
        <v>82</v>
      </c>
      <c r="C35" s="4">
        <v>66</v>
      </c>
      <c r="D35" s="4">
        <v>129</v>
      </c>
      <c r="E35" s="4">
        <v>106</v>
      </c>
      <c r="H35" s="53"/>
      <c r="I35" s="8" t="s">
        <v>8</v>
      </c>
      <c r="J35" s="8" t="s">
        <v>25</v>
      </c>
      <c r="K35" s="8" t="s">
        <v>10</v>
      </c>
      <c r="L35" s="10" t="s">
        <v>11</v>
      </c>
    </row>
    <row r="36" spans="1:34" x14ac:dyDescent="0.3">
      <c r="A36" s="8">
        <v>12</v>
      </c>
      <c r="B36" s="4">
        <v>27</v>
      </c>
      <c r="C36" s="4">
        <v>5</v>
      </c>
      <c r="D36" s="4">
        <v>66</v>
      </c>
      <c r="E36" s="4">
        <v>42</v>
      </c>
      <c r="H36" s="1" t="s">
        <v>43</v>
      </c>
      <c r="I36" s="7">
        <f>B10/B42</f>
        <v>0.80201072237212256</v>
      </c>
      <c r="J36" s="7">
        <f>D10/B42</f>
        <v>0.83758392520042146</v>
      </c>
      <c r="K36" s="7">
        <f>F10/B42</f>
        <v>0.85882977828326568</v>
      </c>
      <c r="L36" s="7">
        <f>H10/B42</f>
        <v>0.90295326316351354</v>
      </c>
    </row>
    <row r="37" spans="1:34" x14ac:dyDescent="0.3">
      <c r="H37" s="1" t="s">
        <v>44</v>
      </c>
      <c r="I37" s="6">
        <f>B10/B43</f>
        <v>0.44536468790662503</v>
      </c>
      <c r="J37" s="6">
        <f>D10/B43</f>
        <v>0.46511884821087274</v>
      </c>
      <c r="K37" s="6">
        <f>F10/B43</f>
        <v>0.47691688589740711</v>
      </c>
      <c r="L37" s="6">
        <f>H10/B43</f>
        <v>0.50141910453972405</v>
      </c>
      <c r="AC37" cm="1">
        <f t="array" ref="AC37:AD41">LINEST(I29:L29,I41:L41,FALSE,TRUE)</f>
        <v>1.4264110774948684</v>
      </c>
      <c r="AD37">
        <v>0</v>
      </c>
      <c r="AH37" t="s">
        <v>45</v>
      </c>
    </row>
    <row r="38" spans="1:34" x14ac:dyDescent="0.3">
      <c r="AC38">
        <v>5.2681723298123227E-2</v>
      </c>
      <c r="AD38" t="e">
        <v>#N/A</v>
      </c>
      <c r="AF38">
        <v>5.1999999999999998E-2</v>
      </c>
    </row>
    <row r="39" spans="1:34" x14ac:dyDescent="0.3">
      <c r="A39" t="s">
        <v>21</v>
      </c>
      <c r="H39" s="53"/>
      <c r="I39" s="54" t="s">
        <v>46</v>
      </c>
      <c r="J39" s="55"/>
      <c r="K39" s="55"/>
      <c r="L39" s="56"/>
      <c r="AC39">
        <v>0.99592452510703011</v>
      </c>
      <c r="AD39">
        <v>3.9086566595331563E-3</v>
      </c>
    </row>
    <row r="40" spans="1:34" x14ac:dyDescent="0.3">
      <c r="A40" t="s">
        <v>47</v>
      </c>
      <c r="B40" s="5">
        <v>998</v>
      </c>
      <c r="H40" s="53"/>
      <c r="I40" s="8" t="s">
        <v>8</v>
      </c>
      <c r="J40" s="8" t="s">
        <v>25</v>
      </c>
      <c r="K40" s="8" t="s">
        <v>10</v>
      </c>
      <c r="L40" s="10" t="s">
        <v>11</v>
      </c>
      <c r="AC40">
        <v>733.11053405702103</v>
      </c>
      <c r="AD40">
        <v>3</v>
      </c>
    </row>
    <row r="41" spans="1:34" x14ac:dyDescent="0.3">
      <c r="A41" t="s">
        <v>48</v>
      </c>
      <c r="B41" s="5">
        <v>9.81</v>
      </c>
      <c r="H41" s="1" t="s">
        <v>43</v>
      </c>
      <c r="I41" s="7">
        <f t="shared" ref="I41:L42" si="12">I36^2/(2*9.8)</f>
        <v>3.281740810203336E-2</v>
      </c>
      <c r="J41" s="7">
        <f t="shared" si="12"/>
        <v>3.5793205701742103E-2</v>
      </c>
      <c r="K41" s="7">
        <f t="shared" si="12"/>
        <v>3.7632070819698125E-2</v>
      </c>
      <c r="L41" s="7">
        <f t="shared" si="12"/>
        <v>4.1598193645797824E-2</v>
      </c>
      <c r="AC41">
        <v>1.1200167209353662E-2</v>
      </c>
      <c r="AD41">
        <v>4.5832790646338674E-5</v>
      </c>
    </row>
    <row r="42" spans="1:34" x14ac:dyDescent="0.3">
      <c r="A42" t="s">
        <v>49</v>
      </c>
      <c r="B42" s="11">
        <f>301.7*10^-6</f>
        <v>3.0169999999999996E-4</v>
      </c>
      <c r="C42" t="s">
        <v>50</v>
      </c>
      <c r="D42" s="5">
        <f>(B42/PI())^(1/2)</f>
        <v>9.7996986005514288E-3</v>
      </c>
      <c r="E42" s="14" t="s">
        <v>51</v>
      </c>
      <c r="F42" s="16">
        <f>D42*39.3700787*2</f>
        <v>0.77162981027997923</v>
      </c>
      <c r="H42" s="1" t="s">
        <v>44</v>
      </c>
      <c r="I42" s="7">
        <f>I37^2/(2*9.8)</f>
        <v>1.0119882920110485E-2</v>
      </c>
      <c r="J42" s="7">
        <f t="shared" si="12"/>
        <v>1.1037527702092289E-2</v>
      </c>
      <c r="K42" s="7">
        <f t="shared" si="12"/>
        <v>1.160457734969798E-2</v>
      </c>
      <c r="L42" s="7">
        <f t="shared" si="12"/>
        <v>1.2827608081500954E-2</v>
      </c>
    </row>
    <row r="43" spans="1:34" x14ac:dyDescent="0.3">
      <c r="A43" s="3" t="s">
        <v>52</v>
      </c>
      <c r="B43" s="12">
        <f>543.3*10^-6</f>
        <v>5.4329999999999992E-4</v>
      </c>
      <c r="C43" t="s">
        <v>53</v>
      </c>
      <c r="D43" s="5">
        <f>(B43/PI())^(1/2)</f>
        <v>1.3150580259579934E-2</v>
      </c>
      <c r="E43" s="14" t="s">
        <v>54</v>
      </c>
      <c r="F43" s="16">
        <f>D43*39.3700787*2</f>
        <v>1.0354787595406569</v>
      </c>
    </row>
    <row r="44" spans="1:34" x14ac:dyDescent="0.3">
      <c r="I44">
        <v>1</v>
      </c>
      <c r="J44">
        <v>2</v>
      </c>
      <c r="K44">
        <v>3</v>
      </c>
      <c r="L44">
        <v>4</v>
      </c>
      <c r="AC44" cm="1">
        <f t="array" ref="AC44:AD48">LINEST(I30:L30,I41:L41,FALSE,TRUE)</f>
        <v>1.6388573088941327</v>
      </c>
      <c r="AD44">
        <v>0</v>
      </c>
      <c r="AH44" t="s">
        <v>55</v>
      </c>
    </row>
    <row r="45" spans="1:34" x14ac:dyDescent="0.3">
      <c r="A45" t="s">
        <v>56</v>
      </c>
      <c r="B45" t="s">
        <v>57</v>
      </c>
      <c r="D45" s="14" t="s">
        <v>58</v>
      </c>
      <c r="E45" s="14"/>
      <c r="F45" s="15">
        <f>F42/F43</f>
        <v>0.74519134571362688</v>
      </c>
      <c r="H45" t="s">
        <v>19</v>
      </c>
      <c r="I45" s="5">
        <f>I41-I42</f>
        <v>2.2697525181922876E-2</v>
      </c>
      <c r="J45" s="5">
        <f t="shared" ref="J45:L45" si="13">J41-J42</f>
        <v>2.4755677999649815E-2</v>
      </c>
      <c r="K45" s="5">
        <f t="shared" si="13"/>
        <v>2.6027493470000145E-2</v>
      </c>
      <c r="L45" s="5">
        <f t="shared" si="13"/>
        <v>2.8770585564296867E-2</v>
      </c>
      <c r="AC45">
        <v>3.9781110276896882E-2</v>
      </c>
      <c r="AD45" t="e">
        <v>#N/A</v>
      </c>
      <c r="AF45">
        <v>0.04</v>
      </c>
    </row>
    <row r="46" spans="1:34" x14ac:dyDescent="0.3">
      <c r="H46" t="s">
        <v>20</v>
      </c>
      <c r="I46" s="5">
        <f>I42-I41</f>
        <v>-2.2697525181922876E-2</v>
      </c>
      <c r="J46" s="5">
        <f t="shared" ref="J46:L46" si="14">J42-J41</f>
        <v>-2.4755677999649815E-2</v>
      </c>
      <c r="K46" s="5">
        <f t="shared" si="14"/>
        <v>-2.6027493470000145E-2</v>
      </c>
      <c r="L46" s="5">
        <f t="shared" si="14"/>
        <v>-2.8770585564296867E-2</v>
      </c>
      <c r="AC46">
        <v>0.99823548329899636</v>
      </c>
      <c r="AD46">
        <v>2.9515112998012957E-3</v>
      </c>
    </row>
    <row r="47" spans="1:34" x14ac:dyDescent="0.3">
      <c r="A47" t="s">
        <v>59</v>
      </c>
      <c r="B47">
        <v>1.002</v>
      </c>
      <c r="C47" t="s">
        <v>60</v>
      </c>
      <c r="AC47">
        <v>1697.1822642391032</v>
      </c>
      <c r="AD47">
        <v>3</v>
      </c>
    </row>
    <row r="48" spans="1:34" x14ac:dyDescent="0.3">
      <c r="H48" t="s">
        <v>61</v>
      </c>
      <c r="I48">
        <v>1</v>
      </c>
      <c r="J48">
        <v>2</v>
      </c>
      <c r="K48">
        <v>3</v>
      </c>
      <c r="L48">
        <v>4</v>
      </c>
      <c r="M48" t="s">
        <v>62</v>
      </c>
      <c r="AC48">
        <v>1.4784865743141437E-2</v>
      </c>
      <c r="AD48">
        <v>2.6134256858564204E-5</v>
      </c>
    </row>
    <row r="49" spans="1:26" x14ac:dyDescent="0.3">
      <c r="H49" t="s">
        <v>43</v>
      </c>
      <c r="I49" s="11">
        <f>B40*I36*D42*2/(B47*10^-3)</f>
        <v>15656.176500898233</v>
      </c>
      <c r="J49" s="11">
        <f>B40*D42*2*J36/(B47*10^-3)</f>
        <v>16350.60654609118</v>
      </c>
      <c r="K49" s="11">
        <f>B40*D42*2*K36/(B47*10^-3)</f>
        <v>16765.350160482441</v>
      </c>
      <c r="L49" s="11">
        <f>B40*D42*2*L36/(B47*10^-3)</f>
        <v>17626.691596263583</v>
      </c>
      <c r="M49" s="11">
        <f>AVERAGE(I49:L49)</f>
        <v>16599.706200933859</v>
      </c>
    </row>
    <row r="50" spans="1:26" x14ac:dyDescent="0.3">
      <c r="H50" t="s">
        <v>63</v>
      </c>
      <c r="I50" s="11">
        <f>B40*D43*2*I37/(B47*10^-3)</f>
        <v>11666.847235434419</v>
      </c>
      <c r="J50" s="11">
        <f>B40*D43*2*J37/(B47*10^-3)</f>
        <v>12184.330495315726</v>
      </c>
      <c r="K50" s="11">
        <f>B40*D43*2*K37/(B47*10^-3)</f>
        <v>12493.393847450085</v>
      </c>
      <c r="L50" s="11">
        <f>B40*D43*2*L37/(B47*10^-3)</f>
        <v>13135.258031098743</v>
      </c>
      <c r="M50" s="11">
        <f>AVERAGE(I50:L50)</f>
        <v>12369.957402324744</v>
      </c>
    </row>
    <row r="51" spans="1:26" ht="14.4" customHeight="1" x14ac:dyDescent="0.3"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6" x14ac:dyDescent="0.3">
      <c r="A52" s="20"/>
      <c r="B52" s="17" t="s">
        <v>64</v>
      </c>
      <c r="C52" s="17" t="s">
        <v>65</v>
      </c>
      <c r="D52" s="17" t="s">
        <v>66</v>
      </c>
      <c r="E52" s="17" t="s">
        <v>67</v>
      </c>
      <c r="F52" s="17" t="s">
        <v>68</v>
      </c>
      <c r="O52" s="13"/>
      <c r="P52" s="20"/>
      <c r="Q52" s="64" t="s">
        <v>0</v>
      </c>
      <c r="R52" s="64"/>
      <c r="S52" s="69" t="s">
        <v>1</v>
      </c>
      <c r="T52" s="64"/>
      <c r="U52" s="64" t="s">
        <v>2</v>
      </c>
      <c r="V52" s="64"/>
      <c r="W52" s="64" t="s">
        <v>3</v>
      </c>
      <c r="X52" s="64"/>
      <c r="Y52" s="13"/>
      <c r="Z52" s="13"/>
    </row>
    <row r="53" spans="1:26" x14ac:dyDescent="0.3">
      <c r="A53" s="19" t="s">
        <v>26</v>
      </c>
      <c r="B53" s="48">
        <v>0.48399999999999999</v>
      </c>
      <c r="C53" s="48">
        <v>2.1000000000000001E-2</v>
      </c>
      <c r="D53" s="18">
        <v>0.27</v>
      </c>
      <c r="E53" s="23">
        <f>ABS((B53-D53)/D53)*100</f>
        <v>79.259259259259238</v>
      </c>
      <c r="F53" s="70">
        <f>(E53+E54+E55+E56+E57+E58)/6</f>
        <v>60.174517506216851</v>
      </c>
      <c r="O53" s="13"/>
      <c r="P53" s="20"/>
      <c r="Q53" s="24" t="s">
        <v>69</v>
      </c>
      <c r="R53" s="24" t="s">
        <v>70</v>
      </c>
      <c r="S53" s="28" t="s">
        <v>69</v>
      </c>
      <c r="T53" s="24" t="s">
        <v>70</v>
      </c>
      <c r="U53" s="24" t="s">
        <v>69</v>
      </c>
      <c r="V53" s="24" t="s">
        <v>70</v>
      </c>
      <c r="W53" s="24" t="s">
        <v>69</v>
      </c>
      <c r="X53" s="24" t="s">
        <v>70</v>
      </c>
      <c r="Y53" s="13"/>
      <c r="Z53" s="13"/>
    </row>
    <row r="54" spans="1:26" x14ac:dyDescent="0.3">
      <c r="A54" s="19" t="s">
        <v>28</v>
      </c>
      <c r="B54" s="48">
        <v>0.41699999999999998</v>
      </c>
      <c r="C54" s="48">
        <v>1.9E-2</v>
      </c>
      <c r="D54" s="21">
        <v>0.2</v>
      </c>
      <c r="E54" s="23">
        <f t="shared" ref="E54:E58" si="15">ABS((B54-D54)/D54)*100</f>
        <v>108.49999999999997</v>
      </c>
      <c r="F54" s="70"/>
      <c r="O54" s="13"/>
      <c r="P54" s="24" t="s">
        <v>43</v>
      </c>
      <c r="Q54" s="45">
        <v>0.80200000000000005</v>
      </c>
      <c r="R54" s="37">
        <f>$B$17/B42</f>
        <v>2.3463878818536465E-2</v>
      </c>
      <c r="S54" s="40">
        <v>0.83758392520042169</v>
      </c>
      <c r="T54" s="40">
        <f>$D$17/B42</f>
        <v>2.3782241288069113E-2</v>
      </c>
      <c r="U54" s="40">
        <v>0.85882977828326568</v>
      </c>
      <c r="V54" s="40">
        <f>$F$17/B42</f>
        <v>2.1791321625490245E-2</v>
      </c>
      <c r="W54" s="40">
        <v>0.90295326316351354</v>
      </c>
      <c r="X54" s="40">
        <f>$H$17/B42</f>
        <v>2.3677653233422975E-2</v>
      </c>
      <c r="Y54" s="13"/>
    </row>
    <row r="55" spans="1:26" x14ac:dyDescent="0.3">
      <c r="A55" s="19" t="s">
        <v>30</v>
      </c>
      <c r="B55" s="48">
        <v>0.44500000000000001</v>
      </c>
      <c r="C55" s="48">
        <v>0.04</v>
      </c>
      <c r="D55" s="18">
        <v>0.22</v>
      </c>
      <c r="E55" s="23">
        <f t="shared" si="15"/>
        <v>102.27272727272727</v>
      </c>
      <c r="F55" s="70"/>
      <c r="O55" s="13"/>
      <c r="P55" s="29" t="s">
        <v>44</v>
      </c>
      <c r="Q55" s="40">
        <v>0.44500000000000001</v>
      </c>
      <c r="R55" s="40">
        <f>$B$17/B43</f>
        <v>1.3029729872174585E-2</v>
      </c>
      <c r="S55" s="40">
        <v>0.46511884821087285</v>
      </c>
      <c r="T55" s="40">
        <f>$D$17/B43</f>
        <v>1.3206519780251152E-2</v>
      </c>
      <c r="U55" s="40">
        <v>0.47691688589740711</v>
      </c>
      <c r="V55" s="40">
        <f>$F$17/B43</f>
        <v>1.2100941900258434E-2</v>
      </c>
      <c r="W55" s="40">
        <v>0.50141910453972405</v>
      </c>
      <c r="X55" s="40">
        <f>$H$17/B43</f>
        <v>1.3148440972802709E-2</v>
      </c>
      <c r="Y55" s="13"/>
    </row>
    <row r="56" spans="1:26" x14ac:dyDescent="0.3">
      <c r="A56" s="19" t="s">
        <v>32</v>
      </c>
      <c r="B56" s="48">
        <v>0.93400000000000005</v>
      </c>
      <c r="C56" s="48">
        <v>2.1000000000000001E-2</v>
      </c>
      <c r="D56" s="18">
        <v>0.81</v>
      </c>
      <c r="E56" s="23">
        <f t="shared" si="15"/>
        <v>15.308641975308641</v>
      </c>
      <c r="F56" s="70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6" x14ac:dyDescent="0.3">
      <c r="A57" s="19" t="s">
        <v>34</v>
      </c>
      <c r="B57" s="48">
        <v>1.4259999999999999</v>
      </c>
      <c r="C57" s="48">
        <v>5.1999999999999998E-2</v>
      </c>
      <c r="D57" s="18">
        <v>1.53</v>
      </c>
      <c r="E57" s="23">
        <f t="shared" si="15"/>
        <v>6.7973856209150387</v>
      </c>
      <c r="F57" s="70"/>
    </row>
    <row r="58" spans="1:26" x14ac:dyDescent="0.3">
      <c r="A58" s="19" t="s">
        <v>38</v>
      </c>
      <c r="B58" s="48">
        <v>1.6379999999999999</v>
      </c>
      <c r="C58" s="49">
        <v>0.04</v>
      </c>
      <c r="D58" s="22">
        <v>1.1000000000000001</v>
      </c>
      <c r="E58" s="23">
        <f t="shared" si="15"/>
        <v>48.909090909090885</v>
      </c>
      <c r="F58" s="70"/>
    </row>
    <row r="59" spans="1:26" ht="14.4" customHeight="1" x14ac:dyDescent="0.3">
      <c r="P59" s="71" t="s">
        <v>21</v>
      </c>
      <c r="Q59" s="73" t="s">
        <v>0</v>
      </c>
      <c r="R59" s="74"/>
      <c r="S59" s="73" t="s">
        <v>1</v>
      </c>
      <c r="T59" s="74"/>
      <c r="U59" s="73" t="s">
        <v>2</v>
      </c>
      <c r="V59" s="74"/>
      <c r="W59" s="73" t="s">
        <v>3</v>
      </c>
      <c r="X59" s="74"/>
      <c r="Y59" s="13"/>
      <c r="Z59" s="13"/>
    </row>
    <row r="60" spans="1:26" ht="14.4" customHeight="1" x14ac:dyDescent="0.3">
      <c r="P60" s="72"/>
      <c r="Q60" s="33" t="s">
        <v>71</v>
      </c>
      <c r="R60" s="34" t="s">
        <v>70</v>
      </c>
      <c r="S60" s="33" t="s">
        <v>71</v>
      </c>
      <c r="T60" s="34" t="s">
        <v>70</v>
      </c>
      <c r="U60" s="33" t="s">
        <v>71</v>
      </c>
      <c r="V60" s="34" t="s">
        <v>70</v>
      </c>
      <c r="W60" s="33" t="s">
        <v>71</v>
      </c>
      <c r="X60" s="34" t="s">
        <v>70</v>
      </c>
      <c r="Y60" s="13"/>
      <c r="Z60" s="13"/>
    </row>
    <row r="61" spans="1:26" x14ac:dyDescent="0.3">
      <c r="P61" s="35" t="s">
        <v>26</v>
      </c>
      <c r="Q61" s="34" t="s">
        <v>72</v>
      </c>
      <c r="R61" s="36">
        <f>0.001/($B$40*$B$41)</f>
        <v>1.021410813472E-7</v>
      </c>
      <c r="S61" s="34" t="s">
        <v>73</v>
      </c>
      <c r="T61" s="36">
        <f>0.001/($B$40*$B$41)</f>
        <v>1.021410813472E-7</v>
      </c>
      <c r="U61" s="34" t="s">
        <v>73</v>
      </c>
      <c r="V61" s="36">
        <f>0.001/($B$40*$B$41)</f>
        <v>1.021410813472E-7</v>
      </c>
      <c r="W61" s="34" t="s">
        <v>74</v>
      </c>
      <c r="X61" s="36">
        <f>0.001/($B$40*$B$41)</f>
        <v>1.021410813472E-7</v>
      </c>
    </row>
    <row r="62" spans="1:26" x14ac:dyDescent="0.3">
      <c r="A62" s="20"/>
      <c r="B62" s="17" t="s">
        <v>64</v>
      </c>
      <c r="C62" s="17" t="s">
        <v>65</v>
      </c>
      <c r="D62" s="17" t="s">
        <v>66</v>
      </c>
      <c r="E62" s="17" t="s">
        <v>67</v>
      </c>
      <c r="F62" s="17" t="s">
        <v>68</v>
      </c>
      <c r="P62" s="35" t="s">
        <v>28</v>
      </c>
      <c r="Q62" s="34" t="s">
        <v>75</v>
      </c>
      <c r="R62" s="36">
        <f>R61+Q54/$B$41*R54+Q55/$B$41*R55</f>
        <v>2.5094049551062135E-3</v>
      </c>
      <c r="S62" s="34" t="s">
        <v>76</v>
      </c>
      <c r="T62" s="36">
        <f>T61+S54/$B$41*T54+S55/$B$41*T55</f>
        <v>2.6568018635267075E-3</v>
      </c>
      <c r="U62" s="34" t="s">
        <v>72</v>
      </c>
      <c r="V62" s="36">
        <f>V61+U54/$B$41*V54+U55/$B$41*V55</f>
        <v>2.4961448982287297E-3</v>
      </c>
      <c r="W62" s="34" t="s">
        <v>73</v>
      </c>
      <c r="X62" s="36">
        <f>X61+W54/$B$41*X54+W55/$B$41*X55</f>
        <v>2.851549006509435E-3</v>
      </c>
    </row>
    <row r="63" spans="1:26" x14ac:dyDescent="0.3">
      <c r="A63" s="19" t="s">
        <v>26</v>
      </c>
      <c r="B63" s="21">
        <v>0.49</v>
      </c>
      <c r="C63" s="21">
        <v>2.1000000000000001E-2</v>
      </c>
      <c r="D63" s="21">
        <v>0.6</v>
      </c>
      <c r="E63" s="23">
        <f>ABS((B63-D63)/D63)*100</f>
        <v>18.333333333333332</v>
      </c>
      <c r="F63" s="50">
        <f>(E63+E64+E65+E66+E67+E68)/6</f>
        <v>48.673004555357494</v>
      </c>
      <c r="P63" s="35" t="s">
        <v>30</v>
      </c>
      <c r="Q63" s="34" t="s">
        <v>74</v>
      </c>
      <c r="R63" s="36">
        <f>R61+Q55/$B$41*R55+Q54/$B$41*R54</f>
        <v>2.5094049551062135E-3</v>
      </c>
      <c r="S63" s="34" t="s">
        <v>77</v>
      </c>
      <c r="T63" s="36">
        <f>T61+S55/$B$41*T55+S54/$B$41*T54</f>
        <v>2.6568018635267075E-3</v>
      </c>
      <c r="U63" s="34" t="s">
        <v>72</v>
      </c>
      <c r="V63" s="36">
        <f>V61+U55/$B$41*V55+U54/$B$41*V54</f>
        <v>2.4961448982287297E-3</v>
      </c>
      <c r="W63" s="34" t="s">
        <v>76</v>
      </c>
      <c r="X63" s="36">
        <f>X61+W55/$B$41*X55+W54/$B$41*X54</f>
        <v>2.851549006509435E-3</v>
      </c>
    </row>
    <row r="64" spans="1:26" x14ac:dyDescent="0.3">
      <c r="A64" s="19" t="s">
        <v>28</v>
      </c>
      <c r="B64" s="21">
        <v>0.43</v>
      </c>
      <c r="C64" s="21">
        <v>1.9E-2</v>
      </c>
      <c r="D64" s="21">
        <v>0.2</v>
      </c>
      <c r="E64" s="23">
        <f t="shared" ref="E64:E68" si="16">ABS((B64-D64)/D64)*100</f>
        <v>114.99999999999999</v>
      </c>
      <c r="F64" s="51"/>
      <c r="P64" s="35" t="s">
        <v>32</v>
      </c>
      <c r="Q64" s="34" t="s">
        <v>78</v>
      </c>
      <c r="R64" s="36">
        <f>0.001/($B$40*$B$41)</f>
        <v>1.021410813472E-7</v>
      </c>
      <c r="S64" s="34" t="s">
        <v>79</v>
      </c>
      <c r="T64" s="36">
        <f>0.001/($B$40*$B$41)</f>
        <v>1.021410813472E-7</v>
      </c>
      <c r="U64" s="34" t="s">
        <v>80</v>
      </c>
      <c r="V64" s="36">
        <f>0.001/($B$40*$B$41)</f>
        <v>1.021410813472E-7</v>
      </c>
      <c r="W64" s="34" t="s">
        <v>81</v>
      </c>
      <c r="X64" s="36">
        <f>0.001/($B$40*$B$41)</f>
        <v>1.021410813472E-7</v>
      </c>
    </row>
    <row r="65" spans="1:26" x14ac:dyDescent="0.3">
      <c r="A65" s="19" t="s">
        <v>30</v>
      </c>
      <c r="B65" s="21">
        <v>0.44</v>
      </c>
      <c r="C65" s="21">
        <v>0.04</v>
      </c>
      <c r="D65" s="18">
        <v>0.22</v>
      </c>
      <c r="E65" s="23">
        <f t="shared" si="16"/>
        <v>100</v>
      </c>
      <c r="F65" s="51"/>
      <c r="P65" s="35" t="s">
        <v>34</v>
      </c>
      <c r="Q65" s="34" t="s">
        <v>82</v>
      </c>
      <c r="R65" s="36">
        <f>0.001/($B$40*$B$41)</f>
        <v>1.021410813472E-7</v>
      </c>
      <c r="S65" s="34" t="s">
        <v>83</v>
      </c>
      <c r="T65" s="36">
        <f>0.001/($B$40*$B$41)</f>
        <v>1.021410813472E-7</v>
      </c>
      <c r="U65" s="34" t="s">
        <v>84</v>
      </c>
      <c r="V65" s="36">
        <f>0.001/($B$40*$B$41)</f>
        <v>1.021410813472E-7</v>
      </c>
      <c r="W65" s="34" t="s">
        <v>85</v>
      </c>
      <c r="X65" s="36">
        <f>0.001/($B$40*$B$41)</f>
        <v>1.021410813472E-7</v>
      </c>
    </row>
    <row r="66" spans="1:26" x14ac:dyDescent="0.3">
      <c r="A66" s="19" t="s">
        <v>32</v>
      </c>
      <c r="B66" s="21">
        <v>0.93</v>
      </c>
      <c r="C66" s="21">
        <v>2.1000000000000001E-2</v>
      </c>
      <c r="D66" s="18">
        <v>0.9</v>
      </c>
      <c r="E66" s="23">
        <f t="shared" si="16"/>
        <v>3.3333333333333361</v>
      </c>
      <c r="F66" s="51"/>
      <c r="P66" s="35" t="s">
        <v>38</v>
      </c>
      <c r="Q66" s="34" t="s">
        <v>85</v>
      </c>
      <c r="R66" s="36">
        <f>0.001/($B$40*$B$41)</f>
        <v>1.021410813472E-7</v>
      </c>
      <c r="S66" s="34" t="s">
        <v>86</v>
      </c>
      <c r="T66" s="36">
        <f>0.001/($B$40*$B$41)</f>
        <v>1.021410813472E-7</v>
      </c>
      <c r="U66" s="34" t="s">
        <v>87</v>
      </c>
      <c r="V66" s="36">
        <f>0.001/($B$40*$B$41)</f>
        <v>1.021410813472E-7</v>
      </c>
      <c r="W66" s="34" t="s">
        <v>88</v>
      </c>
      <c r="X66" s="36">
        <v>1.02E-7</v>
      </c>
    </row>
    <row r="67" spans="1:26" x14ac:dyDescent="0.3">
      <c r="A67" s="19" t="s">
        <v>34</v>
      </c>
      <c r="B67" s="21">
        <v>1.42</v>
      </c>
      <c r="C67" s="21">
        <v>5.1999999999999998E-2</v>
      </c>
      <c r="D67" s="18">
        <v>1.53</v>
      </c>
      <c r="E67" s="23">
        <f t="shared" si="16"/>
        <v>7.1895424836601372</v>
      </c>
      <c r="F67" s="51"/>
    </row>
    <row r="68" spans="1:26" x14ac:dyDescent="0.3">
      <c r="A68" s="19" t="s">
        <v>38</v>
      </c>
      <c r="B68" s="21">
        <v>1.63</v>
      </c>
      <c r="C68" s="22">
        <v>0.04</v>
      </c>
      <c r="D68" s="22">
        <v>1.1000000000000001</v>
      </c>
      <c r="E68" s="23">
        <f t="shared" si="16"/>
        <v>48.181818181818159</v>
      </c>
      <c r="F68" s="52"/>
      <c r="P68" s="20"/>
      <c r="Q68" s="64" t="s">
        <v>0</v>
      </c>
      <c r="R68" s="64"/>
      <c r="S68" s="69" t="s">
        <v>1</v>
      </c>
      <c r="T68" s="64"/>
      <c r="U68" s="64" t="s">
        <v>2</v>
      </c>
      <c r="V68" s="64"/>
      <c r="W68" s="64" t="s">
        <v>3</v>
      </c>
      <c r="X68" s="64"/>
    </row>
    <row r="69" spans="1:26" x14ac:dyDescent="0.3">
      <c r="P69" s="20"/>
      <c r="Q69" s="24" t="s">
        <v>89</v>
      </c>
      <c r="R69" s="24" t="s">
        <v>70</v>
      </c>
      <c r="S69" s="24" t="s">
        <v>89</v>
      </c>
      <c r="T69" s="24" t="s">
        <v>70</v>
      </c>
      <c r="U69" s="24" t="s">
        <v>89</v>
      </c>
      <c r="V69" s="24" t="s">
        <v>70</v>
      </c>
      <c r="W69" s="24" t="s">
        <v>89</v>
      </c>
      <c r="X69" s="24" t="s">
        <v>70</v>
      </c>
    </row>
    <row r="70" spans="1:26" x14ac:dyDescent="0.3">
      <c r="P70" s="24" t="s">
        <v>43</v>
      </c>
      <c r="Q70" s="39">
        <v>3.2817408102033402E-2</v>
      </c>
      <c r="R70" s="38">
        <f>Q54/$B$41*R54</f>
        <v>1.9182498279782106E-3</v>
      </c>
      <c r="S70" s="7">
        <v>3.5793205701742103E-2</v>
      </c>
      <c r="T70" s="38">
        <f>S54/$B$41*T54</f>
        <v>2.0305426104102403E-3</v>
      </c>
      <c r="U70" s="7">
        <v>3.7632070819698125E-2</v>
      </c>
      <c r="V70" s="38">
        <f>U54/$B$41*V54</f>
        <v>1.9077508583199918E-3</v>
      </c>
      <c r="W70" s="40">
        <v>4.1598193645797824E-2</v>
      </c>
      <c r="X70" s="38">
        <f>W54/$B$41*X54</f>
        <v>2.1793898319238929E-3</v>
      </c>
    </row>
    <row r="71" spans="1:26" x14ac:dyDescent="0.3">
      <c r="P71" s="29" t="s">
        <v>44</v>
      </c>
      <c r="Q71" s="40">
        <v>1.0119882920110485E-2</v>
      </c>
      <c r="R71" s="38">
        <f>Q55/$B$41*R55</f>
        <v>5.9105298604665546E-4</v>
      </c>
      <c r="S71" s="7">
        <v>1.1037527702092289E-2</v>
      </c>
      <c r="T71" s="38">
        <f>S55/$B$41*T55</f>
        <v>6.261571120351198E-4</v>
      </c>
      <c r="U71" s="7">
        <v>1.160457734969798E-2</v>
      </c>
      <c r="V71" s="38">
        <f>U55/$B$41*V55</f>
        <v>5.8829189882739078E-4</v>
      </c>
      <c r="W71" s="40">
        <v>1.2827608081500954E-2</v>
      </c>
      <c r="X71" s="38">
        <f>W55/$B$41*X55</f>
        <v>6.7205703350419485E-4</v>
      </c>
    </row>
    <row r="74" spans="1:26" ht="14.4" customHeight="1" x14ac:dyDescent="0.3">
      <c r="P74" s="41" t="s">
        <v>90</v>
      </c>
      <c r="Q74" s="75" t="s">
        <v>0</v>
      </c>
      <c r="R74" s="74"/>
      <c r="S74" s="73" t="s">
        <v>1</v>
      </c>
      <c r="T74" s="74"/>
      <c r="U74" s="73" t="s">
        <v>2</v>
      </c>
      <c r="V74" s="74"/>
      <c r="W74" s="73" t="s">
        <v>3</v>
      </c>
      <c r="X74" s="74"/>
      <c r="Y74" s="73" t="s">
        <v>91</v>
      </c>
      <c r="Z74" s="74"/>
    </row>
    <row r="75" spans="1:26" x14ac:dyDescent="0.3">
      <c r="P75" s="41" t="s">
        <v>90</v>
      </c>
      <c r="Q75" s="35" t="s">
        <v>61</v>
      </c>
      <c r="R75" s="42" t="s">
        <v>70</v>
      </c>
      <c r="S75" s="42" t="s">
        <v>61</v>
      </c>
      <c r="T75" s="42" t="s">
        <v>70</v>
      </c>
      <c r="U75" s="42" t="s">
        <v>61</v>
      </c>
      <c r="V75" s="42" t="s">
        <v>70</v>
      </c>
      <c r="W75" s="42" t="s">
        <v>61</v>
      </c>
      <c r="X75" s="42" t="s">
        <v>70</v>
      </c>
      <c r="Y75" s="42" t="s">
        <v>61</v>
      </c>
      <c r="Z75" s="42" t="s">
        <v>70</v>
      </c>
    </row>
    <row r="76" spans="1:26" x14ac:dyDescent="0.3">
      <c r="P76" s="43" t="s">
        <v>92</v>
      </c>
      <c r="Q76" s="44" t="s">
        <v>93</v>
      </c>
      <c r="R76" s="44">
        <f>$B$40*2*D42*R54/($B$47*10^(-3))</f>
        <v>458.04204099935538</v>
      </c>
      <c r="S76" s="44" t="s">
        <v>94</v>
      </c>
      <c r="T76" s="44">
        <f>$B$40*2*D42*T54/($B$47*10^(-3))</f>
        <v>464.25684446173648</v>
      </c>
      <c r="U76" s="44" t="s">
        <v>95</v>
      </c>
      <c r="V76" s="44">
        <f>$B$40*2*D42*V54/($B$47*10^(-3))</f>
        <v>425.39179095690196</v>
      </c>
      <c r="W76" s="44" t="s">
        <v>96</v>
      </c>
      <c r="X76" s="44">
        <f>$B$40*2*D42*X54/($B$47*10^(-3))</f>
        <v>462.2151647213679</v>
      </c>
      <c r="Y76" s="44" t="s">
        <v>97</v>
      </c>
      <c r="Z76" s="44">
        <f>AVERAGE(R76,T76,V76,X76)</f>
        <v>452.47646028484047</v>
      </c>
    </row>
    <row r="77" spans="1:26" x14ac:dyDescent="0.3">
      <c r="P77" s="35" t="s">
        <v>98</v>
      </c>
      <c r="Q77" s="44" t="s">
        <v>99</v>
      </c>
      <c r="R77" s="44">
        <f>$B$40*2*D43*R55/($B$47*10^(-3))</f>
        <v>341.32896492572598</v>
      </c>
      <c r="S77" s="44" t="s">
        <v>100</v>
      </c>
      <c r="T77" s="44">
        <f>$B$40*2*D43*T55/($B$47*10^(-3))</f>
        <v>345.96018268120338</v>
      </c>
      <c r="U77" s="44" t="s">
        <v>101</v>
      </c>
      <c r="V77" s="44">
        <f>$B$40*2*D43*V55/($B$47*10^(-3))</f>
        <v>316.99828115870366</v>
      </c>
      <c r="W77" s="44" t="s">
        <v>102</v>
      </c>
      <c r="X77" s="44">
        <f>$B$40*2*D43*X55/($B$47*10^(-3))</f>
        <v>344.4387406079619</v>
      </c>
      <c r="Y77" s="44" t="s">
        <v>103</v>
      </c>
      <c r="Z77" s="44">
        <f>AVERAGE(R77,T77,V77,X77)</f>
        <v>337.18154234339875</v>
      </c>
    </row>
  </sheetData>
  <mergeCells count="48">
    <mergeCell ref="Y74:Z74"/>
    <mergeCell ref="Q68:R68"/>
    <mergeCell ref="S68:T68"/>
    <mergeCell ref="U68:V68"/>
    <mergeCell ref="W68:X68"/>
    <mergeCell ref="Q74:R74"/>
    <mergeCell ref="S74:T74"/>
    <mergeCell ref="U74:V74"/>
    <mergeCell ref="W74:X74"/>
    <mergeCell ref="P59:P60"/>
    <mergeCell ref="Q59:R59"/>
    <mergeCell ref="S59:T59"/>
    <mergeCell ref="U59:V59"/>
    <mergeCell ref="W59:X59"/>
    <mergeCell ref="Q52:R52"/>
    <mergeCell ref="S52:T52"/>
    <mergeCell ref="U52:V52"/>
    <mergeCell ref="W52:X52"/>
    <mergeCell ref="F53:F58"/>
    <mergeCell ref="A1:B1"/>
    <mergeCell ref="C1:D1"/>
    <mergeCell ref="E1:F1"/>
    <mergeCell ref="G1:H1"/>
    <mergeCell ref="C8:D8"/>
    <mergeCell ref="E8:F8"/>
    <mergeCell ref="G8:H8"/>
    <mergeCell ref="A8:B8"/>
    <mergeCell ref="I23:L23"/>
    <mergeCell ref="H23:H24"/>
    <mergeCell ref="A23:A24"/>
    <mergeCell ref="B10:B14"/>
    <mergeCell ref="D10:D14"/>
    <mergeCell ref="F10:F14"/>
    <mergeCell ref="H10:H14"/>
    <mergeCell ref="A15:B15"/>
    <mergeCell ref="C15:D15"/>
    <mergeCell ref="E15:F15"/>
    <mergeCell ref="G15:H15"/>
    <mergeCell ref="B17:B21"/>
    <mergeCell ref="D17:D21"/>
    <mergeCell ref="F17:F21"/>
    <mergeCell ref="H17:H21"/>
    <mergeCell ref="B23:E23"/>
    <mergeCell ref="F63:F68"/>
    <mergeCell ref="H34:H35"/>
    <mergeCell ref="I34:L34"/>
    <mergeCell ref="H39:H40"/>
    <mergeCell ref="I39:L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Co-op tribos</dc:creator>
  <cp:keywords/>
  <dc:description/>
  <cp:lastModifiedBy>Magner Gusse</cp:lastModifiedBy>
  <cp:revision/>
  <dcterms:created xsi:type="dcterms:W3CDTF">2020-12-14T17:49:42Z</dcterms:created>
  <dcterms:modified xsi:type="dcterms:W3CDTF">2023-05-15T08:23:55Z</dcterms:modified>
  <cp:category/>
  <cp:contentStatus/>
</cp:coreProperties>
</file>