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ore\Desktop\Graduate School New\Antarctic Production Scaling\Scaling Manuscript\Scaling Paper Codes\Data\"/>
    </mc:Choice>
  </mc:AlternateContent>
  <xr:revisionPtr revIDLastSave="0" documentId="13_ncr:1_{1B5487DA-7199-4016-BFD0-BEA88F227692}" xr6:coauthVersionLast="47" xr6:coauthVersionMax="47" xr10:uidLastSave="{00000000-0000-0000-0000-000000000000}"/>
  <bookViews>
    <workbookView xWindow="-98" yWindow="-98" windowWidth="21795" windowHeight="12975" xr2:uid="{8341ED14-962C-4ADA-A215-05A8A2859F36}"/>
  </bookViews>
  <sheets>
    <sheet name="Notes" sheetId="10" r:id="rId1"/>
    <sheet name="Inputs" sheetId="9" r:id="rId2"/>
    <sheet name="Result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7" i="12" l="1"/>
  <c r="X6" i="12"/>
  <c r="X5" i="12"/>
  <c r="X4" i="12"/>
  <c r="X3" i="12"/>
  <c r="V3" i="12"/>
  <c r="Y3" i="12"/>
  <c r="Y4" i="12"/>
  <c r="Y10" i="12"/>
  <c r="H12" i="12"/>
  <c r="AB4" i="12"/>
  <c r="V12" i="12"/>
  <c r="G23" i="12"/>
  <c r="Q12" i="12" l="1"/>
  <c r="R12" i="12"/>
  <c r="Q13" i="12"/>
  <c r="R13" i="12"/>
  <c r="Q16" i="12"/>
  <c r="R20" i="12"/>
  <c r="R19" i="12"/>
  <c r="R18" i="12"/>
  <c r="R17" i="12"/>
  <c r="R16" i="12"/>
  <c r="R9" i="12"/>
  <c r="R8" i="12"/>
  <c r="R6" i="12"/>
  <c r="R5" i="12"/>
  <c r="Q20" i="12"/>
  <c r="Q19" i="12"/>
  <c r="Q18" i="12"/>
  <c r="Q17" i="12"/>
  <c r="Q9" i="12"/>
  <c r="Q8" i="12"/>
  <c r="Q6" i="12"/>
  <c r="Q5" i="12"/>
  <c r="F28" i="12" l="1"/>
  <c r="G8" i="12"/>
  <c r="G9" i="12"/>
  <c r="G6" i="12"/>
  <c r="G5" i="12"/>
  <c r="G4" i="12"/>
  <c r="G28" i="12"/>
  <c r="G20" i="12" l="1"/>
  <c r="H8" i="12"/>
  <c r="O8" i="12" s="1"/>
  <c r="G16" i="12"/>
  <c r="G12" i="12"/>
  <c r="G17" i="12"/>
  <c r="G13" i="12"/>
  <c r="G18" i="12"/>
  <c r="G19" i="12"/>
  <c r="G7" i="12"/>
  <c r="H4" i="12" l="1"/>
  <c r="O4" i="12" s="1"/>
  <c r="H7" i="12"/>
  <c r="O7" i="12" s="1"/>
  <c r="H13" i="12"/>
  <c r="H16" i="12"/>
  <c r="O16" i="12" s="1"/>
  <c r="H19" i="12"/>
  <c r="O19" i="12" s="1"/>
  <c r="H18" i="12"/>
  <c r="O18" i="12" s="1"/>
  <c r="H6" i="12"/>
  <c r="O6" i="12" s="1"/>
  <c r="H9" i="12"/>
  <c r="O9" i="12" s="1"/>
  <c r="H24" i="12" s="1"/>
  <c r="H5" i="12"/>
  <c r="O5" i="12" s="1"/>
  <c r="H20" i="12"/>
  <c r="O20" i="12" s="1"/>
  <c r="H17" i="12"/>
  <c r="O17" i="12" s="1"/>
  <c r="N8" i="12"/>
  <c r="H25" i="12" l="1"/>
  <c r="V6" i="12"/>
  <c r="O13" i="12"/>
  <c r="V5" i="12"/>
  <c r="V14" i="12" s="1"/>
  <c r="V16" i="12" s="1"/>
  <c r="O12" i="12"/>
  <c r="N13" i="12"/>
  <c r="N12" i="12"/>
  <c r="N7" i="12"/>
  <c r="N4" i="12"/>
  <c r="H23" i="12"/>
  <c r="N9" i="12"/>
  <c r="G24" i="12" s="1"/>
  <c r="AB5" i="12" s="1"/>
  <c r="AC5" i="12" s="1"/>
  <c r="N18" i="12"/>
  <c r="N6" i="12"/>
  <c r="N17" i="12"/>
  <c r="N16" i="12"/>
  <c r="N5" i="12"/>
  <c r="N20" i="12"/>
  <c r="N19" i="12"/>
  <c r="G25" i="12" l="1"/>
  <c r="V4" i="12"/>
  <c r="V7" i="12" l="1"/>
  <c r="V10" i="12" s="1"/>
  <c r="AC4" i="12"/>
  <c r="V11" i="12" l="1"/>
  <c r="Y5" i="12"/>
  <c r="Y14" i="12" s="1"/>
  <c r="Y16" i="12" s="1"/>
  <c r="Y7" i="12"/>
  <c r="V15" i="12"/>
  <c r="Y6" i="12"/>
  <c r="Y15" i="12" l="1"/>
  <c r="Y12" i="12" l="1"/>
  <c r="Y11" i="12"/>
</calcChain>
</file>

<file path=xl/sharedStrings.xml><?xml version="1.0" encoding="utf-8"?>
<sst xmlns="http://schemas.openxmlformats.org/spreadsheetml/2006/main" count="230" uniqueCount="125">
  <si>
    <t>ID</t>
  </si>
  <si>
    <t>OV19-1</t>
  </si>
  <si>
    <t>OV19-2</t>
  </si>
  <si>
    <t>OV19-3</t>
  </si>
  <si>
    <t>BL15-1</t>
  </si>
  <si>
    <t>BL15-2</t>
  </si>
  <si>
    <t>BL15-3</t>
  </si>
  <si>
    <t>LL15-1</t>
  </si>
  <si>
    <t>LL15-2</t>
  </si>
  <si>
    <t>error</t>
  </si>
  <si>
    <t>97EV14B</t>
  </si>
  <si>
    <t>N10</t>
  </si>
  <si>
    <t>thickness</t>
  </si>
  <si>
    <t>lambdaeff</t>
  </si>
  <si>
    <t>lambdaFe</t>
  </si>
  <si>
    <t>P10mu</t>
  </si>
  <si>
    <t>P10s</t>
  </si>
  <si>
    <t>S_Fe</t>
  </si>
  <si>
    <t xml:space="preserve">N36 mt. </t>
  </si>
  <si>
    <t>N36 K-sp</t>
  </si>
  <si>
    <t>Conc. K</t>
  </si>
  <si>
    <t>S_K</t>
  </si>
  <si>
    <t>lambdaK</t>
  </si>
  <si>
    <t>PKs</t>
  </si>
  <si>
    <t>ePKs</t>
  </si>
  <si>
    <t>Conc. Fe</t>
  </si>
  <si>
    <t>lat</t>
  </si>
  <si>
    <t>lon</t>
  </si>
  <si>
    <t>alt</t>
  </si>
  <si>
    <t>atm</t>
  </si>
  <si>
    <t>w</t>
  </si>
  <si>
    <t xml:space="preserve">age </t>
  </si>
  <si>
    <t>misc_mt_sp</t>
  </si>
  <si>
    <t>misc_fs_sp</t>
  </si>
  <si>
    <t xml:space="preserve">Sample identity </t>
  </si>
  <si>
    <t>Latitude (degrees N)</t>
  </si>
  <si>
    <t xml:space="preserve">longitude (degrees E) </t>
  </si>
  <si>
    <t>altitude (m asl)</t>
  </si>
  <si>
    <r>
      <t>sample thickness (g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</si>
  <si>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fractional concentration of K in the sample (dimensionless)</t>
  </si>
  <si>
    <t>fractional concentration of Fe in the sample (dimensionless)</t>
  </si>
  <si>
    <r>
      <t xml:space="preserve">Scaling factor for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production from K (dimensionless)</t>
    </r>
  </si>
  <si>
    <r>
      <t xml:space="preserve">Scaling factor for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production from Fe (dimensionless)</t>
    </r>
  </si>
  <si>
    <t>-</t>
  </si>
  <si>
    <t xml:space="preserve">Scaling Factor Ratios </t>
  </si>
  <si>
    <t>Owens Valley, 2019</t>
  </si>
  <si>
    <t>OV19-1 Fe/K</t>
  </si>
  <si>
    <t>OV19-2 Fe/K</t>
  </si>
  <si>
    <t>OV19-3 Fe/K</t>
  </si>
  <si>
    <t>OV19-1 Fe/Qtz</t>
  </si>
  <si>
    <t>OV19-2 Fe/Qtz</t>
  </si>
  <si>
    <t>OV19-3 Fe/Qtz</t>
  </si>
  <si>
    <t xml:space="preserve">Mt Evans, 1997  </t>
  </si>
  <si>
    <t>97EV14B-Fe/K</t>
  </si>
  <si>
    <t>97EV14B-Fe/Qtz</t>
  </si>
  <si>
    <t>Owens Valley Cl</t>
  </si>
  <si>
    <t>Owens Valley Be</t>
  </si>
  <si>
    <t xml:space="preserve">Sierra Nevada </t>
  </si>
  <si>
    <t xml:space="preserve">Scaling Factors </t>
  </si>
  <si>
    <r>
      <t xml:space="preserve">Reference 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Cl production rate from Fe at sea level and high latitude (weighted average of all data)</t>
    </r>
  </si>
  <si>
    <r>
      <t>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</si>
  <si>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Be</t>
  </si>
  <si>
    <t>Fe</t>
  </si>
  <si>
    <t>K</t>
  </si>
  <si>
    <t xml:space="preserve">at sea level </t>
  </si>
  <si>
    <t>Prod. fs.</t>
  </si>
  <si>
    <t>misc_prod</t>
  </si>
  <si>
    <t xml:space="preserve">Name </t>
  </si>
  <si>
    <t>Misc. mt.</t>
  </si>
  <si>
    <r>
      <t xml:space="preserve">Surface production rate of 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Be by muon interactions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</si>
  <si>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 xml:space="preserve">Prod. fs. </t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</si>
  <si>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magnetite by spallation on elements other than Fe (Mt. Evans only)</t>
    </r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</si>
  <si>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K-feldspar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(Mt. Evans only)</t>
    </r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</si>
  <si>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feldspar from target elements other than K</t>
    </r>
  </si>
  <si>
    <t xml:space="preserve">fractional water content of the ground (0.066 is used for all calculations) </t>
  </si>
  <si>
    <t>exposure age (yrs. BP)</t>
  </si>
  <si>
    <t xml:space="preserve">Variable index: This sheet contains explanations of the parameters in "Inputs" that are used in the calibration codes. </t>
  </si>
  <si>
    <t>atmospheric pressure model (ERA40 (2) is used for all calculations)</t>
  </si>
  <si>
    <r>
      <t xml:space="preserve">Concentration of 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Be in quartz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</si>
  <si>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Concentration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magnetite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</si>
  <si>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magnetite from pathways other than spallation on Fe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</si>
  <si>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effective attenuation length for 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Be production (g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</si>
  <si>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 xml:space="preserve">effective attenuation length for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production from Fe (g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 (Owens Valley only)</t>
    </r>
  </si>
  <si>
    <r>
      <t xml:space="preserve">Surface production rate of 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Be by spallation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</si>
  <si>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concentration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K-feldspar (atoms/g)</t>
    </r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</si>
  <si>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feldspar (atoms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</si>
  <si>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Production rate of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in feldspar from pathways other than spallation on K (Owens Valley only)</t>
    </r>
  </si>
  <si>
    <r>
      <t xml:space="preserve">effective attenuation length for 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Cl production from K (g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 (Owens Valley only)</t>
    </r>
  </si>
  <si>
    <t>Notes:</t>
  </si>
  <si>
    <t xml:space="preserve">Errors on production rates include internal uncertainties only. </t>
  </si>
  <si>
    <t>Ratio</t>
  </si>
  <si>
    <t xml:space="preserve">Weighted average calcs. </t>
  </si>
  <si>
    <t>Rate</t>
  </si>
  <si>
    <t>Error</t>
  </si>
  <si>
    <t>Normalized to Be-10 in qtz.</t>
  </si>
  <si>
    <t xml:space="preserve">Excluded as outlier. See text for discussion. </t>
  </si>
  <si>
    <t>Normalized to Cl-36 from K.</t>
  </si>
  <si>
    <t xml:space="preserve">z-test </t>
  </si>
  <si>
    <t>MSWD</t>
  </si>
  <si>
    <t>Statistics</t>
  </si>
  <si>
    <t>Chi</t>
  </si>
  <si>
    <t>Modeled Ratio</t>
  </si>
  <si>
    <t>Avg. ratio</t>
  </si>
  <si>
    <t>OV19-K</t>
  </si>
  <si>
    <t>OV19-Qtz</t>
  </si>
  <si>
    <t>Evans-K</t>
  </si>
  <si>
    <t>Evans-Qtz</t>
  </si>
  <si>
    <t>Sierra Nevada-Qtz</t>
  </si>
  <si>
    <t>test statistic</t>
  </si>
  <si>
    <t>cum. dist.</t>
  </si>
  <si>
    <t>p</t>
  </si>
  <si>
    <t>Excluding OV19-1 as an outlier</t>
  </si>
  <si>
    <t>Final Statistics</t>
  </si>
  <si>
    <t>at sample's elevation</t>
  </si>
  <si>
    <r>
      <t>atoms g Fe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</si>
  <si>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chi-squared</t>
  </si>
  <si>
    <t xml:space="preserve">Reaction-Specific </t>
  </si>
  <si>
    <t>Uniform-flux</t>
  </si>
  <si>
    <t>Calibrated SLHL Production Rates from Fe (output from codes)</t>
  </si>
  <si>
    <t>Sierra Nevada Quartz (from Moore &amp; Granger, 2019)</t>
  </si>
  <si>
    <t xml:space="preserve">Weighted Averages </t>
  </si>
  <si>
    <t xml:space="preserve">apparent age* </t>
  </si>
  <si>
    <t xml:space="preserve">*Age used to compute the scaling factor averaging time. </t>
  </si>
  <si>
    <t>Neutron capture</t>
  </si>
  <si>
    <r>
      <t xml:space="preserve">atoms 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  <scheme val="minor"/>
      </rPr>
      <t>g Cl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</si>
</sst>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3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0" fillId="2" borderId="1" xfId="0" applyFill="1" applyBorder="1"/>
    <xf numFmtId="0" fontId="0" fillId="2" borderId="2" xfId="0" applyFill="1" applyBorder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2" fontId="0" fillId="2" borderId="0" xfId="0" applyNumberFormat="1" applyFill="1"/>
    <xf numFmtId="11" fontId="0" fillId="0" borderId="0" xfId="0" applyNumberFormat="1"/>
    <xf numFmtId="1" fontId="0" fillId="5" borderId="0" xfId="0" applyNumberFormat="1" applyFill="1"/>
    <xf numFmtId="0" fontId="0" fillId="5" borderId="0" xfId="0" applyFill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2" borderId="0" xfId="0" applyFont="1" applyFill="1"/>
    <xf numFmtId="1" fontId="0" fillId="0" borderId="3" xfId="0" applyNumberFormat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5" xfId="0" applyNumberFormat="1" applyBorder="1"/>
    <xf numFmtId="164" fontId="0" fillId="0" borderId="6" xfId="0" applyNumberFormat="1" applyBorder="1" applyAlignment="1">
      <alignment horizontal="center"/>
    </xf>
    <xf numFmtId="1" fontId="0" fillId="0" borderId="7" xfId="0" applyNumberFormat="1" applyBorder="1"/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8" fillId="0" borderId="0" xfId="0" applyFont="1"/>
    <xf numFmtId="2" fontId="8" fillId="0" borderId="0" xfId="0" applyNumberFormat="1" applyFont="1"/>
    <xf numFmtId="164" fontId="0" fillId="0" borderId="0" xfId="0" applyNumberFormat="1"/>
    <xf numFmtId="166" fontId="0" fillId="5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BC77-44AF-41C5-A870-8A16B4FD8670}">
  <dimension ref="A1:B30"/>
  <sheetViews>
    <sheetView tabSelected="1" workbookViewId="0">
      <selection activeCell="B1" sqref="B1"/>
    </sheetView>
  </sheetViews>
  <sheetFormatPr defaultRowHeight="14.25" x14ac:dyDescent="0.45"/>
  <cols>
    <col min="1" max="1" width="13" customWidth="1"/>
    <col min="2" max="2" width="88.59765625" customWidth="1"/>
  </cols>
  <sheetData>
    <row r="1" spans="1:2" ht="14.65" thickBot="1" x14ac:dyDescent="0.5">
      <c r="A1" t="s">
        <v>76</v>
      </c>
    </row>
    <row r="2" spans="1:2" x14ac:dyDescent="0.45">
      <c r="A2" s="16"/>
      <c r="B2" s="16"/>
    </row>
    <row r="3" spans="1:2" ht="14.65" thickBot="1" x14ac:dyDescent="0.5">
      <c r="A3" s="17" t="s">
        <v>67</v>
      </c>
      <c r="B3" s="17"/>
    </row>
    <row r="4" spans="1:2" x14ac:dyDescent="0.45">
      <c r="A4" t="s">
        <v>0</v>
      </c>
      <c r="B4" t="s">
        <v>34</v>
      </c>
    </row>
    <row r="5" spans="1:2" ht="15.75" x14ac:dyDescent="0.45">
      <c r="A5" t="s">
        <v>11</v>
      </c>
      <c r="B5" t="s">
        <v>78</v>
      </c>
    </row>
    <row r="6" spans="1:2" ht="15.75" x14ac:dyDescent="0.45">
      <c r="A6" t="s">
        <v>18</v>
      </c>
      <c r="B6" t="s">
        <v>79</v>
      </c>
    </row>
    <row r="7" spans="1:2" ht="15.75" x14ac:dyDescent="0.45">
      <c r="A7" t="s">
        <v>68</v>
      </c>
      <c r="B7" t="s">
        <v>80</v>
      </c>
    </row>
    <row r="8" spans="1:2" ht="15.75" x14ac:dyDescent="0.45">
      <c r="A8" t="s">
        <v>12</v>
      </c>
      <c r="B8" t="s">
        <v>38</v>
      </c>
    </row>
    <row r="9" spans="1:2" ht="15.75" x14ac:dyDescent="0.45">
      <c r="A9" t="s">
        <v>13</v>
      </c>
      <c r="B9" t="s">
        <v>81</v>
      </c>
    </row>
    <row r="10" spans="1:2" ht="15.75" x14ac:dyDescent="0.45">
      <c r="A10" t="s">
        <v>14</v>
      </c>
      <c r="B10" t="s">
        <v>82</v>
      </c>
    </row>
    <row r="11" spans="1:2" ht="15.75" x14ac:dyDescent="0.45">
      <c r="A11" t="s">
        <v>15</v>
      </c>
      <c r="B11" t="s">
        <v>69</v>
      </c>
    </row>
    <row r="12" spans="1:2" ht="15.75" x14ac:dyDescent="0.45">
      <c r="A12" t="s">
        <v>16</v>
      </c>
      <c r="B12" t="s">
        <v>83</v>
      </c>
    </row>
    <row r="13" spans="1:2" ht="15.75" x14ac:dyDescent="0.45">
      <c r="A13" t="s">
        <v>17</v>
      </c>
      <c r="B13" t="s">
        <v>42</v>
      </c>
    </row>
    <row r="14" spans="1:2" x14ac:dyDescent="0.45">
      <c r="A14" s="2" t="s">
        <v>25</v>
      </c>
      <c r="B14" t="s">
        <v>40</v>
      </c>
    </row>
    <row r="15" spans="1:2" ht="15.75" x14ac:dyDescent="0.45">
      <c r="A15" t="s">
        <v>32</v>
      </c>
      <c r="B15" t="s">
        <v>71</v>
      </c>
    </row>
    <row r="17" spans="1:2" ht="15.75" x14ac:dyDescent="0.45">
      <c r="A17" t="s">
        <v>19</v>
      </c>
      <c r="B17" t="s">
        <v>84</v>
      </c>
    </row>
    <row r="18" spans="1:2" ht="15.75" x14ac:dyDescent="0.45">
      <c r="A18" t="s">
        <v>70</v>
      </c>
      <c r="B18" t="s">
        <v>85</v>
      </c>
    </row>
    <row r="19" spans="1:2" x14ac:dyDescent="0.45">
      <c r="A19" t="s">
        <v>20</v>
      </c>
      <c r="B19" t="s">
        <v>39</v>
      </c>
    </row>
    <row r="20" spans="1:2" ht="15.75" x14ac:dyDescent="0.45">
      <c r="A20" t="s">
        <v>21</v>
      </c>
      <c r="B20" t="s">
        <v>41</v>
      </c>
    </row>
    <row r="21" spans="1:2" ht="15.75" x14ac:dyDescent="0.45">
      <c r="A21" t="s">
        <v>22</v>
      </c>
      <c r="B21" t="s">
        <v>87</v>
      </c>
    </row>
    <row r="22" spans="1:2" ht="15.75" x14ac:dyDescent="0.45">
      <c r="A22" t="s">
        <v>23</v>
      </c>
      <c r="B22" t="s">
        <v>72</v>
      </c>
    </row>
    <row r="23" spans="1:2" ht="15.75" x14ac:dyDescent="0.45">
      <c r="A23" t="s">
        <v>33</v>
      </c>
      <c r="B23" t="s">
        <v>73</v>
      </c>
    </row>
    <row r="24" spans="1:2" ht="15.75" x14ac:dyDescent="0.45">
      <c r="A24" t="s">
        <v>66</v>
      </c>
      <c r="B24" t="s">
        <v>86</v>
      </c>
    </row>
    <row r="25" spans="1:2" x14ac:dyDescent="0.45">
      <c r="A25" t="s">
        <v>26</v>
      </c>
      <c r="B25" t="s">
        <v>35</v>
      </c>
    </row>
    <row r="26" spans="1:2" x14ac:dyDescent="0.45">
      <c r="A26" t="s">
        <v>27</v>
      </c>
      <c r="B26" t="s">
        <v>36</v>
      </c>
    </row>
    <row r="27" spans="1:2" x14ac:dyDescent="0.45">
      <c r="A27" t="s">
        <v>28</v>
      </c>
      <c r="B27" t="s">
        <v>37</v>
      </c>
    </row>
    <row r="28" spans="1:2" x14ac:dyDescent="0.45">
      <c r="A28" t="s">
        <v>29</v>
      </c>
      <c r="B28" t="s">
        <v>77</v>
      </c>
    </row>
    <row r="29" spans="1:2" x14ac:dyDescent="0.45">
      <c r="A29" t="s">
        <v>30</v>
      </c>
      <c r="B29" t="s">
        <v>74</v>
      </c>
    </row>
    <row r="30" spans="1:2" x14ac:dyDescent="0.45">
      <c r="A30" t="s">
        <v>31</v>
      </c>
      <c r="B3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8410-CEFF-4596-9DB3-182C71CC47C2}">
  <dimension ref="A1:P26"/>
  <sheetViews>
    <sheetView topLeftCell="B1" workbookViewId="0">
      <selection activeCell="I19" sqref="I19"/>
    </sheetView>
  </sheetViews>
  <sheetFormatPr defaultRowHeight="14.25" x14ac:dyDescent="0.45"/>
  <cols>
    <col min="1" max="13" width="12.59765625" customWidth="1"/>
    <col min="14" max="14" width="12.59765625" style="2" customWidth="1"/>
    <col min="15" max="17" width="12.59765625" customWidth="1"/>
  </cols>
  <sheetData>
    <row r="1" spans="1:16" x14ac:dyDescent="0.45">
      <c r="A1" s="1" t="s">
        <v>0</v>
      </c>
      <c r="B1" s="1" t="s">
        <v>11</v>
      </c>
      <c r="C1" s="1" t="s">
        <v>9</v>
      </c>
      <c r="D1" s="1" t="s">
        <v>18</v>
      </c>
      <c r="E1" s="1" t="s">
        <v>9</v>
      </c>
      <c r="F1" s="1" t="s">
        <v>68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21" t="s">
        <v>25</v>
      </c>
      <c r="O1" s="1" t="s">
        <v>9</v>
      </c>
      <c r="P1" s="1" t="s">
        <v>32</v>
      </c>
    </row>
    <row r="2" spans="1:16" x14ac:dyDescent="0.45">
      <c r="A2" t="s">
        <v>1</v>
      </c>
      <c r="B2" s="25">
        <v>278945.54915103881</v>
      </c>
      <c r="C2" s="25">
        <v>10481.575014284355</v>
      </c>
      <c r="D2" s="25">
        <v>81136.4071666276</v>
      </c>
      <c r="E2" s="25">
        <v>6289.7564240093861</v>
      </c>
      <c r="F2" s="6">
        <v>2.2718444608220683</v>
      </c>
      <c r="G2" s="6">
        <v>6.5747430632707077E-2</v>
      </c>
      <c r="H2" s="25">
        <v>32.400000000000006</v>
      </c>
      <c r="I2" s="7">
        <v>160</v>
      </c>
      <c r="J2" s="7">
        <v>146</v>
      </c>
      <c r="K2" s="6">
        <v>0.1152</v>
      </c>
      <c r="L2" s="6">
        <v>13.222944</v>
      </c>
      <c r="M2" s="6">
        <v>4.0426000000000002</v>
      </c>
      <c r="N2" s="28">
        <v>0.73553206608209598</v>
      </c>
      <c r="O2" s="28">
        <v>1.1932066082095901E-2</v>
      </c>
      <c r="P2" s="28" t="s">
        <v>43</v>
      </c>
    </row>
    <row r="3" spans="1:16" x14ac:dyDescent="0.45">
      <c r="A3" t="s">
        <v>2</v>
      </c>
      <c r="B3" s="25">
        <v>286072.7934187174</v>
      </c>
      <c r="C3" s="25">
        <v>8714.9630511172745</v>
      </c>
      <c r="D3" s="25">
        <v>94309.195879319173</v>
      </c>
      <c r="E3" s="25">
        <v>4571.3352937222808</v>
      </c>
      <c r="F3" s="6">
        <v>0.54851268974263989</v>
      </c>
      <c r="G3" s="6">
        <v>9.4194257711923746E-2</v>
      </c>
      <c r="H3" s="25">
        <v>32.400000000000006</v>
      </c>
      <c r="I3" s="7">
        <v>160</v>
      </c>
      <c r="J3" s="7">
        <v>146</v>
      </c>
      <c r="K3" s="6">
        <v>0.1152</v>
      </c>
      <c r="L3" s="6">
        <v>13.243328</v>
      </c>
      <c r="M3" s="6">
        <v>4.0465999999999998</v>
      </c>
      <c r="N3" s="28">
        <v>0.73999302170142556</v>
      </c>
      <c r="O3" s="28">
        <v>8.7633346288884632E-3</v>
      </c>
      <c r="P3" s="28" t="s">
        <v>43</v>
      </c>
    </row>
    <row r="4" spans="1:16" x14ac:dyDescent="0.45">
      <c r="A4" t="s">
        <v>3</v>
      </c>
      <c r="B4" s="25">
        <v>309882.5452213278</v>
      </c>
      <c r="C4" s="25">
        <v>7460.1413263080776</v>
      </c>
      <c r="D4" s="25">
        <v>121222.35588354389</v>
      </c>
      <c r="E4" s="25">
        <v>4609.5257902838084</v>
      </c>
      <c r="F4" s="6">
        <v>1.2482390786415285</v>
      </c>
      <c r="G4" s="6">
        <v>2.2477066605615246E-2</v>
      </c>
      <c r="H4" s="25">
        <v>27</v>
      </c>
      <c r="I4" s="7">
        <v>160</v>
      </c>
      <c r="J4" s="7">
        <v>146</v>
      </c>
      <c r="K4" s="6">
        <v>0.1152</v>
      </c>
      <c r="L4" s="6">
        <v>13.331919999999998</v>
      </c>
      <c r="M4" s="6">
        <v>4.0648999999999997</v>
      </c>
      <c r="N4" s="28">
        <v>0.73936614413035662</v>
      </c>
      <c r="O4" s="28">
        <v>2.0275496579042054E-2</v>
      </c>
      <c r="P4" s="28" t="s">
        <v>43</v>
      </c>
    </row>
    <row r="5" spans="1:16" x14ac:dyDescent="0.45">
      <c r="A5" t="s">
        <v>10</v>
      </c>
      <c r="B5" s="25">
        <v>2291850.0390241975</v>
      </c>
      <c r="C5" s="25">
        <v>37249.13187311474</v>
      </c>
      <c r="D5" s="25">
        <v>675913.63418889034</v>
      </c>
      <c r="E5" s="25">
        <v>31374.03245167495</v>
      </c>
      <c r="F5" s="6">
        <v>0.93236676364390003</v>
      </c>
      <c r="G5" s="6">
        <v>0.12006237335450079</v>
      </c>
      <c r="H5" s="25">
        <v>67.5</v>
      </c>
      <c r="I5" s="7">
        <v>160</v>
      </c>
      <c r="J5" s="7" t="s">
        <v>43</v>
      </c>
      <c r="K5" s="7" t="s">
        <v>43</v>
      </c>
      <c r="L5" s="6">
        <v>80.047967999999997</v>
      </c>
      <c r="M5" s="6">
        <v>28.072700000000001</v>
      </c>
      <c r="N5" s="28">
        <v>0.73981892865293186</v>
      </c>
      <c r="O5" s="28">
        <v>3.3272337939778102E-2</v>
      </c>
      <c r="P5" s="28">
        <v>0.9035878238204017</v>
      </c>
    </row>
    <row r="6" spans="1:16" x14ac:dyDescent="0.45">
      <c r="P6" s="2"/>
    </row>
    <row r="7" spans="1:16" x14ac:dyDescent="0.45">
      <c r="A7" s="1"/>
      <c r="B7" s="1" t="s">
        <v>19</v>
      </c>
      <c r="C7" s="1" t="s">
        <v>9</v>
      </c>
      <c r="D7" s="1" t="s">
        <v>65</v>
      </c>
      <c r="E7" s="1" t="s">
        <v>9</v>
      </c>
      <c r="F7" s="1" t="s">
        <v>20</v>
      </c>
      <c r="G7" s="1" t="s">
        <v>9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33</v>
      </c>
      <c r="M7" s="21" t="s">
        <v>66</v>
      </c>
      <c r="N7" s="1" t="s">
        <v>9</v>
      </c>
      <c r="O7" s="2"/>
    </row>
    <row r="8" spans="1:16" x14ac:dyDescent="0.45">
      <c r="A8" t="s">
        <v>1</v>
      </c>
      <c r="B8" s="25">
        <v>596392.00120292732</v>
      </c>
      <c r="C8" s="25">
        <v>16610.264806348601</v>
      </c>
      <c r="D8" s="26">
        <v>28.538045866153702</v>
      </c>
      <c r="E8" s="26">
        <v>0.44556653913504224</v>
      </c>
      <c r="F8" s="27">
        <v>3.3905978625477326E-2</v>
      </c>
      <c r="G8" s="25">
        <v>2.2458380185734323E-4</v>
      </c>
      <c r="H8" s="6">
        <v>3.2395</v>
      </c>
      <c r="I8" s="7">
        <v>176</v>
      </c>
      <c r="J8" s="26" t="s">
        <v>43</v>
      </c>
      <c r="K8" s="26" t="s">
        <v>43</v>
      </c>
      <c r="L8" s="7" t="s">
        <v>43</v>
      </c>
      <c r="M8" s="6">
        <v>2.6475729262039502</v>
      </c>
      <c r="N8" s="6">
        <v>0.42524545935559888</v>
      </c>
      <c r="O8" s="2"/>
    </row>
    <row r="9" spans="1:16" x14ac:dyDescent="0.45">
      <c r="A9" t="s">
        <v>2</v>
      </c>
      <c r="B9" s="25">
        <v>534508.87411276461</v>
      </c>
      <c r="C9" s="25">
        <v>16184.818211711967</v>
      </c>
      <c r="D9" s="26">
        <v>24.978736820403547</v>
      </c>
      <c r="E9" s="26">
        <v>0.12937179100779433</v>
      </c>
      <c r="F9" s="27">
        <v>2.3136092401264293E-2</v>
      </c>
      <c r="G9" s="25">
        <v>1.4944253949668711E-4</v>
      </c>
      <c r="H9" s="6">
        <v>3.2442000000000002</v>
      </c>
      <c r="I9" s="7">
        <v>176</v>
      </c>
      <c r="J9" s="26" t="s">
        <v>43</v>
      </c>
      <c r="K9" s="26" t="s">
        <v>43</v>
      </c>
      <c r="L9" s="7" t="s">
        <v>43</v>
      </c>
      <c r="M9" s="6">
        <v>4.396682094680207</v>
      </c>
      <c r="N9" s="6">
        <v>0.12638079513200834</v>
      </c>
      <c r="O9" s="2"/>
    </row>
    <row r="10" spans="1:16" x14ac:dyDescent="0.45">
      <c r="A10" t="s">
        <v>3</v>
      </c>
      <c r="B10" s="25">
        <v>979522.25451853976</v>
      </c>
      <c r="C10" s="25">
        <v>29846.718416847179</v>
      </c>
      <c r="D10" s="26">
        <v>42.531379142254586</v>
      </c>
      <c r="E10" s="26">
        <v>0.26773877773892069</v>
      </c>
      <c r="F10" s="27">
        <v>3.9231314984286614E-2</v>
      </c>
      <c r="G10" s="25">
        <v>3.064139281377386E-4</v>
      </c>
      <c r="H10" s="6">
        <v>3.2654999999999998</v>
      </c>
      <c r="I10" s="7">
        <v>176</v>
      </c>
      <c r="J10" s="26" t="s">
        <v>43</v>
      </c>
      <c r="K10" s="26" t="s">
        <v>43</v>
      </c>
      <c r="L10" s="7" t="s">
        <v>43</v>
      </c>
      <c r="M10" s="6">
        <v>1.99176554571311</v>
      </c>
      <c r="N10" s="6">
        <v>0.26183802985883398</v>
      </c>
      <c r="O10" s="2"/>
    </row>
    <row r="11" spans="1:16" x14ac:dyDescent="0.45">
      <c r="A11" t="s">
        <v>10</v>
      </c>
      <c r="B11" s="25">
        <v>9306394.0851073172</v>
      </c>
      <c r="C11" s="25">
        <v>130261.08294792518</v>
      </c>
      <c r="D11" s="26" t="s">
        <v>43</v>
      </c>
      <c r="E11" s="26" t="s">
        <v>43</v>
      </c>
      <c r="F11" s="27">
        <v>9.6378898957689613E-2</v>
      </c>
      <c r="G11" s="25">
        <v>1.5608629817696386E-3</v>
      </c>
      <c r="H11" s="6">
        <v>19.038699999999999</v>
      </c>
      <c r="I11" s="7" t="s">
        <v>43</v>
      </c>
      <c r="J11" s="26">
        <v>285.61548488355095</v>
      </c>
      <c r="K11" s="26">
        <v>4.625562671873122</v>
      </c>
      <c r="L11" s="28">
        <v>4.0267240492024987</v>
      </c>
      <c r="M11" s="6" t="s">
        <v>43</v>
      </c>
      <c r="N11" s="7" t="s">
        <v>43</v>
      </c>
      <c r="O11" s="2"/>
    </row>
    <row r="12" spans="1:16" x14ac:dyDescent="0.45">
      <c r="A12" s="18"/>
      <c r="B12" s="19"/>
      <c r="C12" s="19"/>
      <c r="D12" s="19"/>
      <c r="E12" s="19"/>
      <c r="F12" s="19"/>
      <c r="G12" s="19"/>
    </row>
    <row r="13" spans="1:16" x14ac:dyDescent="0.45">
      <c r="A13" s="20"/>
      <c r="B13" s="20" t="s">
        <v>26</v>
      </c>
      <c r="C13" s="20" t="s">
        <v>27</v>
      </c>
      <c r="D13" s="20" t="s">
        <v>28</v>
      </c>
      <c r="E13" s="20" t="s">
        <v>29</v>
      </c>
      <c r="F13" s="20" t="s">
        <v>30</v>
      </c>
      <c r="G13" s="20" t="s">
        <v>121</v>
      </c>
    </row>
    <row r="14" spans="1:16" x14ac:dyDescent="0.45">
      <c r="A14" t="s">
        <v>1</v>
      </c>
      <c r="B14" s="28">
        <v>37.416108999999999</v>
      </c>
      <c r="C14" s="28">
        <v>-118.63039000000001</v>
      </c>
      <c r="D14" s="7">
        <v>1702</v>
      </c>
      <c r="E14" s="7">
        <v>2</v>
      </c>
      <c r="F14" s="7">
        <v>6.6000000000000003E-2</v>
      </c>
      <c r="G14" s="25">
        <v>23227.761843120959</v>
      </c>
    </row>
    <row r="15" spans="1:16" x14ac:dyDescent="0.45">
      <c r="A15" t="s">
        <v>2</v>
      </c>
      <c r="B15" s="28">
        <v>37.416013999999997</v>
      </c>
      <c r="C15" s="28">
        <v>-118.63032699999999</v>
      </c>
      <c r="D15" s="7">
        <v>1701</v>
      </c>
      <c r="E15" s="7">
        <v>2</v>
      </c>
      <c r="F15" s="7">
        <v>6.6000000000000003E-2</v>
      </c>
      <c r="G15" s="25">
        <v>23787.915132707156</v>
      </c>
    </row>
    <row r="16" spans="1:16" x14ac:dyDescent="0.45">
      <c r="A16" t="s">
        <v>3</v>
      </c>
      <c r="B16" s="28">
        <v>37.415885000000003</v>
      </c>
      <c r="C16" s="28">
        <v>-118.63045</v>
      </c>
      <c r="D16" s="7">
        <v>1701</v>
      </c>
      <c r="E16" s="7">
        <v>2</v>
      </c>
      <c r="F16" s="7">
        <v>6.6000000000000003E-2</v>
      </c>
      <c r="G16" s="25">
        <v>25191.943372120168</v>
      </c>
    </row>
    <row r="17" spans="1:7" x14ac:dyDescent="0.45">
      <c r="A17" t="s">
        <v>10</v>
      </c>
      <c r="B17" s="28">
        <v>39.587800000000001</v>
      </c>
      <c r="C17" s="28">
        <v>-105.64400000000001</v>
      </c>
      <c r="D17" s="7">
        <v>4267</v>
      </c>
      <c r="E17" s="7">
        <v>2</v>
      </c>
      <c r="F17" s="7">
        <v>6.6000000000000003E-2</v>
      </c>
      <c r="G17" s="25">
        <v>35404.389224383718</v>
      </c>
    </row>
    <row r="18" spans="1:7" x14ac:dyDescent="0.45">
      <c r="A18" t="s">
        <v>4</v>
      </c>
      <c r="B18" s="28">
        <v>37.165999999999997</v>
      </c>
      <c r="C18" s="28">
        <v>-118.61799999999999</v>
      </c>
      <c r="D18" s="7">
        <v>3365</v>
      </c>
      <c r="E18" s="7">
        <v>2</v>
      </c>
      <c r="F18" s="7">
        <v>6.6000000000000003E-2</v>
      </c>
      <c r="G18" s="25">
        <v>13300</v>
      </c>
    </row>
    <row r="19" spans="1:7" x14ac:dyDescent="0.45">
      <c r="A19" t="s">
        <v>5</v>
      </c>
      <c r="B19" s="28">
        <v>37.167000000000002</v>
      </c>
      <c r="C19" s="28">
        <v>-118.619</v>
      </c>
      <c r="D19" s="7">
        <v>3363</v>
      </c>
      <c r="E19" s="7">
        <v>2</v>
      </c>
      <c r="F19" s="7">
        <v>6.6000000000000003E-2</v>
      </c>
      <c r="G19" s="25">
        <v>13300</v>
      </c>
    </row>
    <row r="20" spans="1:7" x14ac:dyDescent="0.45">
      <c r="A20" t="s">
        <v>6</v>
      </c>
      <c r="B20" s="28">
        <v>37.167000000000002</v>
      </c>
      <c r="C20" s="28">
        <v>-118.622</v>
      </c>
      <c r="D20" s="7">
        <v>3360</v>
      </c>
      <c r="E20" s="7">
        <v>2</v>
      </c>
      <c r="F20" s="7">
        <v>6.6000000000000003E-2</v>
      </c>
      <c r="G20" s="25">
        <v>13300</v>
      </c>
    </row>
    <row r="21" spans="1:7" x14ac:dyDescent="0.45">
      <c r="A21" t="s">
        <v>7</v>
      </c>
      <c r="B21" s="28">
        <v>37.392000000000003</v>
      </c>
      <c r="C21" s="28">
        <v>-118.76600000000001</v>
      </c>
      <c r="D21" s="7">
        <v>3328</v>
      </c>
      <c r="E21" s="7">
        <v>2</v>
      </c>
      <c r="F21" s="7">
        <v>6.6000000000000003E-2</v>
      </c>
      <c r="G21" s="25">
        <v>15800</v>
      </c>
    </row>
    <row r="22" spans="1:7" x14ac:dyDescent="0.45">
      <c r="A22" t="s">
        <v>8</v>
      </c>
      <c r="B22" s="28">
        <v>37.402999999999999</v>
      </c>
      <c r="C22" s="28">
        <v>-118.756</v>
      </c>
      <c r="D22" s="7">
        <v>3318</v>
      </c>
      <c r="E22" s="7">
        <v>2</v>
      </c>
      <c r="F22" s="7">
        <v>6.6000000000000003E-2</v>
      </c>
      <c r="G22" s="25">
        <v>15800</v>
      </c>
    </row>
    <row r="23" spans="1:7" x14ac:dyDescent="0.45">
      <c r="G23" s="4"/>
    </row>
    <row r="24" spans="1:7" x14ac:dyDescent="0.45">
      <c r="A24" t="s">
        <v>88</v>
      </c>
    </row>
    <row r="25" spans="1:7" x14ac:dyDescent="0.45">
      <c r="A25" t="s">
        <v>89</v>
      </c>
    </row>
    <row r="26" spans="1:7" x14ac:dyDescent="0.45">
      <c r="A26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FF0-3D53-4A2B-9263-1F636A5E618E}">
  <dimension ref="A1:AJ48"/>
  <sheetViews>
    <sheetView zoomScaleNormal="100" workbookViewId="0">
      <selection activeCell="F22" sqref="F22"/>
    </sheetView>
  </sheetViews>
  <sheetFormatPr defaultRowHeight="14.25" x14ac:dyDescent="0.45"/>
  <cols>
    <col min="1" max="1" width="16" customWidth="1"/>
    <col min="2" max="18" width="10.59765625" customWidth="1"/>
    <col min="19" max="19" width="12.59765625" customWidth="1"/>
    <col min="20" max="20" width="16.9296875" customWidth="1"/>
    <col min="21" max="21" width="13.33203125" customWidth="1"/>
    <col min="22" max="30" width="12.59765625" customWidth="1"/>
    <col min="31" max="31" width="10.59765625" customWidth="1"/>
  </cols>
  <sheetData>
    <row r="1" spans="1:36" x14ac:dyDescent="0.45">
      <c r="A1" s="1" t="s">
        <v>118</v>
      </c>
      <c r="B1" s="1"/>
      <c r="C1" s="8"/>
      <c r="D1" s="8"/>
      <c r="E1" s="8"/>
      <c r="G1" s="8"/>
      <c r="H1" s="1"/>
      <c r="I1" s="1"/>
      <c r="J1" s="1"/>
      <c r="K1" s="1"/>
      <c r="L1" s="1"/>
      <c r="N1" s="1" t="s">
        <v>91</v>
      </c>
      <c r="O1" s="1"/>
      <c r="P1" s="1"/>
      <c r="Q1" s="1"/>
      <c r="R1" s="1"/>
      <c r="T1" s="8" t="s">
        <v>99</v>
      </c>
      <c r="U1" s="8" t="s">
        <v>116</v>
      </c>
      <c r="V1" s="1"/>
      <c r="W1" s="1"/>
      <c r="X1" s="8" t="s">
        <v>117</v>
      </c>
      <c r="Y1" s="1"/>
      <c r="AA1" s="1"/>
      <c r="AB1" s="29" t="s">
        <v>97</v>
      </c>
      <c r="AC1" s="1"/>
      <c r="AE1" s="1" t="s">
        <v>123</v>
      </c>
      <c r="AF1" s="1"/>
      <c r="AG1" s="1"/>
    </row>
    <row r="2" spans="1:36" x14ac:dyDescent="0.45">
      <c r="A2" s="8" t="s">
        <v>0</v>
      </c>
      <c r="B2" s="1"/>
      <c r="C2" s="8" t="s">
        <v>92</v>
      </c>
      <c r="D2" s="8" t="s">
        <v>93</v>
      </c>
      <c r="E2" s="8"/>
      <c r="G2" s="8" t="s">
        <v>44</v>
      </c>
      <c r="H2" s="1"/>
      <c r="I2" s="1"/>
      <c r="J2" s="1"/>
      <c r="K2" s="1"/>
      <c r="L2" s="1"/>
      <c r="N2" s="8" t="s">
        <v>90</v>
      </c>
      <c r="O2" s="8"/>
      <c r="P2" s="8"/>
      <c r="Q2" s="8" t="s">
        <v>92</v>
      </c>
      <c r="R2" s="1"/>
      <c r="T2" s="1" t="s">
        <v>0</v>
      </c>
      <c r="U2" s="1" t="s">
        <v>101</v>
      </c>
      <c r="V2" s="1" t="s">
        <v>115</v>
      </c>
      <c r="W2" s="1"/>
      <c r="X2" s="1" t="s">
        <v>102</v>
      </c>
      <c r="Y2" s="1" t="s">
        <v>115</v>
      </c>
      <c r="AA2" s="1"/>
      <c r="AB2" s="20"/>
      <c r="AC2" s="1" t="s">
        <v>109</v>
      </c>
      <c r="AE2" s="8" t="s">
        <v>0</v>
      </c>
      <c r="AF2" s="8" t="s">
        <v>92</v>
      </c>
      <c r="AG2" s="8"/>
    </row>
    <row r="3" spans="1:36" ht="15.75" x14ac:dyDescent="0.45">
      <c r="A3" s="9" t="s">
        <v>45</v>
      </c>
      <c r="C3" t="s">
        <v>114</v>
      </c>
      <c r="T3" t="s">
        <v>103</v>
      </c>
      <c r="U3" s="6">
        <v>1.1399999999999999</v>
      </c>
      <c r="V3" s="28">
        <f>(U3-G23)^2/H23^2</f>
        <v>1.6710214150026468E-2</v>
      </c>
      <c r="W3" s="6"/>
      <c r="X3" s="6">
        <f>(G23/H23^2+G12/H12^2)/(1/H23^2+1/H12^2)</f>
        <v>1.1962831871468513</v>
      </c>
      <c r="Y3" s="6">
        <f>(X3-G23)^2/H23^2</f>
        <v>1.2776468521166515</v>
      </c>
      <c r="AB3" t="s">
        <v>108</v>
      </c>
      <c r="AF3" t="s">
        <v>124</v>
      </c>
    </row>
    <row r="4" spans="1:36" x14ac:dyDescent="0.45">
      <c r="A4" t="s">
        <v>46</v>
      </c>
      <c r="C4" s="2">
        <v>0.54166700000000001</v>
      </c>
      <c r="D4" s="2">
        <v>0.110142</v>
      </c>
      <c r="E4" s="2"/>
      <c r="G4" s="10">
        <f>C4*C30*D40/(D30*C40*$F$28)</f>
        <v>0.4676313050496293</v>
      </c>
      <c r="H4" s="10">
        <f>D4/C4*G4</f>
        <v>9.5087659393642721E-2</v>
      </c>
      <c r="J4" s="5" t="s">
        <v>96</v>
      </c>
      <c r="K4" s="5"/>
      <c r="L4" s="5"/>
      <c r="N4" s="23">
        <f t="shared" ref="N4:N9" si="0">G4/H4^2</f>
        <v>51.719612493291685</v>
      </c>
      <c r="O4" s="23">
        <f t="shared" ref="O4" si="1">1/H4^2</f>
        <v>110.59912357194034</v>
      </c>
      <c r="P4" s="23" t="s">
        <v>95</v>
      </c>
      <c r="Q4" s="24"/>
      <c r="R4" s="24"/>
      <c r="T4" t="s">
        <v>104</v>
      </c>
      <c r="U4" s="6">
        <v>1.0960000000000001</v>
      </c>
      <c r="V4" s="28">
        <f>(U4-G24)^2/H24^2</f>
        <v>0.20953735768882648</v>
      </c>
      <c r="W4" s="6"/>
      <c r="X4" s="6">
        <f>(G24/H24^2+G25/H25^2+G13/H13^2)/(1/H24^2+1/H25^2+1/H13^2)</f>
        <v>1.1937900081596082</v>
      </c>
      <c r="Y4" s="6">
        <f>(X4-G24)^2/H24^2</f>
        <v>1.9067869680014329</v>
      </c>
      <c r="AA4" t="s">
        <v>63</v>
      </c>
      <c r="AB4" s="2">
        <f>(G12-G23)/SQRT(H12^2+H23^2)</f>
        <v>2.2295810716237958</v>
      </c>
      <c r="AC4" s="42">
        <f>_xlfn.NORM.DIST(AB4,0,1,TRUE)</f>
        <v>0.98711236618900422</v>
      </c>
      <c r="AE4" t="s">
        <v>1</v>
      </c>
      <c r="AF4" s="42">
        <v>0.25830292953161288</v>
      </c>
    </row>
    <row r="5" spans="1:36" x14ac:dyDescent="0.45">
      <c r="A5" t="s">
        <v>47</v>
      </c>
      <c r="C5" s="2">
        <v>1.2886340000000001</v>
      </c>
      <c r="D5" s="2">
        <v>9.1069999999999998E-2</v>
      </c>
      <c r="E5" s="2"/>
      <c r="G5" s="10">
        <f>C5*C31*D41/(D31*C41*$F$28)</f>
        <v>1.1125748553017134</v>
      </c>
      <c r="H5" s="10">
        <f>D5/C5*G5</f>
        <v>7.8627594858064462E-2</v>
      </c>
      <c r="J5" s="11" t="s">
        <v>94</v>
      </c>
      <c r="K5" s="11"/>
      <c r="L5" s="11"/>
      <c r="N5" s="4">
        <f t="shared" si="0"/>
        <v>179.96135646619112</v>
      </c>
      <c r="O5" s="4">
        <f t="shared" ref="O5:O9" si="2">1/H5^2</f>
        <v>161.75213344848453</v>
      </c>
      <c r="Q5" s="4">
        <f>C5/D5^2</f>
        <v>155.37420255112983</v>
      </c>
      <c r="R5" s="4">
        <f>1/D5^2</f>
        <v>120.57279456473275</v>
      </c>
      <c r="S5" s="4"/>
      <c r="T5" s="4" t="s">
        <v>105</v>
      </c>
      <c r="U5" s="6">
        <v>1.3859999999999999</v>
      </c>
      <c r="V5" s="28">
        <f>(U5-G12)^2/H12^2</f>
        <v>3.9464085265275492E-3</v>
      </c>
      <c r="W5" s="6"/>
      <c r="X5" s="6">
        <f>$X$3</f>
        <v>1.1962831871468513</v>
      </c>
      <c r="Y5" s="6">
        <f>(X5-G12)^2/H12^2</f>
        <v>3.6933849028264634</v>
      </c>
      <c r="Z5" s="4"/>
      <c r="AA5" t="s">
        <v>61</v>
      </c>
      <c r="AB5" s="2">
        <f>(G13-G24)/SQRT(H13^2+H24^2)</f>
        <v>1.6404975572615459</v>
      </c>
      <c r="AC5" s="42">
        <f>_xlfn.NORM.DIST(AB5,0,1,TRUE)</f>
        <v>0.94954912202310715</v>
      </c>
      <c r="AD5" s="4"/>
      <c r="AE5" t="s">
        <v>2</v>
      </c>
      <c r="AF5" s="42">
        <v>0.18450618155215479</v>
      </c>
    </row>
    <row r="6" spans="1:36" x14ac:dyDescent="0.45">
      <c r="A6" t="s">
        <v>48</v>
      </c>
      <c r="C6" s="2">
        <v>1.3360069999999999</v>
      </c>
      <c r="D6" s="2">
        <v>9.3126E-2</v>
      </c>
      <c r="E6" s="2"/>
      <c r="G6" s="10">
        <f>C6*C32*D42/(D32*C42*$F$28)</f>
        <v>1.1538224545660083</v>
      </c>
      <c r="H6" s="10">
        <f>D6/C6*G6</f>
        <v>8.0426876433966357E-2</v>
      </c>
      <c r="N6" s="4">
        <f t="shared" si="0"/>
        <v>178.3760662509564</v>
      </c>
      <c r="O6" s="4">
        <f t="shared" si="2"/>
        <v>154.5957660514153</v>
      </c>
      <c r="Q6" s="4">
        <f>C6/D6^2</f>
        <v>154.05182053500278</v>
      </c>
      <c r="R6" s="4">
        <f t="shared" ref="R6:R9" si="3">1/D6^2</f>
        <v>115.30764474662391</v>
      </c>
      <c r="S6" s="4"/>
      <c r="T6" s="4" t="s">
        <v>106</v>
      </c>
      <c r="U6" s="6">
        <v>1.296</v>
      </c>
      <c r="V6" s="28">
        <f>(U6-G13)^2/H13^2</f>
        <v>8.4177831507164982E-3</v>
      </c>
      <c r="W6" s="6"/>
      <c r="X6" s="6">
        <f>$X$4</f>
        <v>1.1937900081596082</v>
      </c>
      <c r="Y6" s="6">
        <f>(X6-G13)^2/H13^2</f>
        <v>1.1654409510262931</v>
      </c>
      <c r="Z6" s="4"/>
      <c r="AD6" s="4"/>
      <c r="AE6" t="s">
        <v>3</v>
      </c>
      <c r="AF6" s="42">
        <v>0.19335156942219406</v>
      </c>
    </row>
    <row r="7" spans="1:36" x14ac:dyDescent="0.45">
      <c r="A7" t="s">
        <v>49</v>
      </c>
      <c r="C7" s="2">
        <v>0.56938100000000003</v>
      </c>
      <c r="D7" s="2">
        <v>0.116881</v>
      </c>
      <c r="E7" s="2"/>
      <c r="G7" s="12">
        <f>C7*C30*B40/(B30*C40*$F$28)</f>
        <v>0.47257162981522344</v>
      </c>
      <c r="H7" s="12">
        <f t="shared" ref="H7:H9" si="4">D7/C7*G7</f>
        <v>9.7008232913344705E-2</v>
      </c>
      <c r="N7" s="23">
        <f t="shared" si="0"/>
        <v>50.216964674170107</v>
      </c>
      <c r="O7" s="23">
        <f t="shared" ref="O7" si="5">1/H7^2</f>
        <v>106.26318108390267</v>
      </c>
      <c r="P7" s="23" t="s">
        <v>95</v>
      </c>
      <c r="Q7" s="24"/>
      <c r="R7" s="24"/>
      <c r="T7" t="s">
        <v>107</v>
      </c>
      <c r="U7" s="6">
        <v>1.2230000000000001</v>
      </c>
      <c r="V7" s="28">
        <f>(U7-G25)^2/H25^2</f>
        <v>3.1138809757207557E-2</v>
      </c>
      <c r="W7" s="6"/>
      <c r="X7" s="6">
        <f>$X$4</f>
        <v>1.1937900081596082</v>
      </c>
      <c r="Y7" s="6">
        <f>(X7-G25)^2/H25^2</f>
        <v>0.30029621206100732</v>
      </c>
      <c r="AF7" s="4"/>
      <c r="AG7" s="4"/>
      <c r="AI7" s="2"/>
      <c r="AJ7" s="2"/>
    </row>
    <row r="8" spans="1:36" x14ac:dyDescent="0.45">
      <c r="A8" t="s">
        <v>50</v>
      </c>
      <c r="C8" s="2">
        <v>1.3205640000000001</v>
      </c>
      <c r="D8" s="2">
        <v>9.2479000000000006E-2</v>
      </c>
      <c r="E8" s="2"/>
      <c r="G8" s="12">
        <f>C8*C31*B41/(B31*C41*$F$28)</f>
        <v>1.096125263158674</v>
      </c>
      <c r="H8" s="12">
        <f t="shared" si="4"/>
        <v>7.6761571731208039E-2</v>
      </c>
      <c r="N8" s="4">
        <f t="shared" si="0"/>
        <v>186.02549560663707</v>
      </c>
      <c r="O8" s="4">
        <f t="shared" si="2"/>
        <v>169.71189503521933</v>
      </c>
      <c r="Q8" s="4">
        <f t="shared" ref="Q8:Q9" si="6">C8/D8^2</f>
        <v>154.40921100836292</v>
      </c>
      <c r="R8" s="4">
        <f t="shared" si="3"/>
        <v>116.92671540975138</v>
      </c>
      <c r="S8" s="4"/>
      <c r="U8" s="6"/>
      <c r="V8" s="28"/>
      <c r="W8" s="6"/>
      <c r="X8" s="6"/>
      <c r="Y8" s="6"/>
      <c r="Z8" s="4"/>
      <c r="AD8" s="4"/>
      <c r="AF8" s="3"/>
      <c r="AG8" s="3"/>
    </row>
    <row r="9" spans="1:36" ht="14.65" thickBot="1" x14ac:dyDescent="0.5">
      <c r="A9" t="s">
        <v>51</v>
      </c>
      <c r="C9" s="2">
        <v>1.3762529999999999</v>
      </c>
      <c r="D9" s="2">
        <v>8.8838E-2</v>
      </c>
      <c r="E9" s="2"/>
      <c r="G9" s="12">
        <f>C9*C32*B42/(B32*C42*$F$28)</f>
        <v>1.1427119507383894</v>
      </c>
      <c r="H9" s="12">
        <f t="shared" si="4"/>
        <v>7.3762777832053442E-2</v>
      </c>
      <c r="N9" s="4">
        <f t="shared" si="0"/>
        <v>210.02076809331783</v>
      </c>
      <c r="O9" s="4">
        <f t="shared" si="2"/>
        <v>183.79152152702011</v>
      </c>
      <c r="Q9" s="4">
        <f t="shared" si="6"/>
        <v>174.38163012432321</v>
      </c>
      <c r="R9" s="4">
        <f t="shared" si="3"/>
        <v>126.70753860251219</v>
      </c>
      <c r="S9" s="4"/>
      <c r="T9" s="4" t="s">
        <v>112</v>
      </c>
      <c r="U9" s="6"/>
      <c r="V9" s="28"/>
      <c r="W9" s="6"/>
      <c r="X9" s="6"/>
      <c r="Y9" s="28"/>
      <c r="Z9" s="4"/>
      <c r="AD9" s="4"/>
      <c r="AF9" s="3"/>
      <c r="AG9" s="3"/>
    </row>
    <row r="10" spans="1:36" x14ac:dyDescent="0.45">
      <c r="C10" s="2"/>
      <c r="D10" s="2"/>
      <c r="E10" s="2"/>
      <c r="G10" s="2"/>
      <c r="H10" s="2"/>
      <c r="N10" s="4"/>
      <c r="O10" s="4"/>
      <c r="Q10" s="4"/>
      <c r="R10" s="4"/>
      <c r="S10" s="4"/>
      <c r="T10" s="30" t="s">
        <v>61</v>
      </c>
      <c r="U10" s="31" t="s">
        <v>100</v>
      </c>
      <c r="V10" s="32">
        <f>SUM(V4,V6,V7)</f>
        <v>0.24909395059675055</v>
      </c>
      <c r="W10" s="32"/>
      <c r="X10" s="31" t="s">
        <v>100</v>
      </c>
      <c r="Y10" s="33">
        <f>SUM(Y4,Y6,Y7)</f>
        <v>3.3725241310887331</v>
      </c>
      <c r="Z10" s="4"/>
      <c r="AD10" s="4"/>
    </row>
    <row r="11" spans="1:36" x14ac:dyDescent="0.45">
      <c r="A11" s="9" t="s">
        <v>52</v>
      </c>
      <c r="C11" s="2"/>
      <c r="D11" s="2"/>
      <c r="E11" s="2"/>
      <c r="G11" s="2"/>
      <c r="H11" s="2"/>
      <c r="N11" s="4"/>
      <c r="O11" s="4"/>
      <c r="Q11" s="4"/>
      <c r="R11" s="4"/>
      <c r="S11" s="4"/>
      <c r="T11" s="34"/>
      <c r="U11" s="6" t="s">
        <v>98</v>
      </c>
      <c r="V11" s="28">
        <f>V10/2</f>
        <v>0.12454697529837527</v>
      </c>
      <c r="W11" s="28"/>
      <c r="X11" s="6" t="s">
        <v>98</v>
      </c>
      <c r="Y11" s="35">
        <f>Y10/2</f>
        <v>1.6862620655443665</v>
      </c>
      <c r="Z11" s="4"/>
      <c r="AA11" s="4"/>
      <c r="AB11" s="4"/>
    </row>
    <row r="12" spans="1:36" x14ac:dyDescent="0.45">
      <c r="A12" t="s">
        <v>53</v>
      </c>
      <c r="C12" s="2">
        <v>1.3142</v>
      </c>
      <c r="D12" s="2">
        <v>9.1035000000000005E-2</v>
      </c>
      <c r="E12" s="2"/>
      <c r="G12" s="44">
        <f>C12*C33*D43/(D33*C43*$F$28)</f>
        <v>1.3799948285252135</v>
      </c>
      <c r="H12" s="44">
        <f t="shared" ref="H12:H13" si="7">D12/C12*G12</f>
        <v>9.5592626095565986E-2</v>
      </c>
      <c r="N12" s="4">
        <f t="shared" ref="N12:N13" si="8">G12/H12^2</f>
        <v>151.01798584818448</v>
      </c>
      <c r="O12" s="4">
        <f t="shared" ref="O12:O13" si="9">1/H12^2</f>
        <v>109.43373317534521</v>
      </c>
      <c r="Q12" s="4">
        <f>C12/D12^2</f>
        <v>158.57863299709973</v>
      </c>
      <c r="R12" s="4">
        <f t="shared" ref="R12:R13" si="10">1/D12^2</f>
        <v>120.66552503203449</v>
      </c>
      <c r="S12" s="4"/>
      <c r="T12" s="34"/>
      <c r="U12" s="6" t="s">
        <v>110</v>
      </c>
      <c r="V12" s="28">
        <f>1-_xlfn.CHISQ.DIST(V10,2,TRUE)</f>
        <v>0.88289678605227884</v>
      </c>
      <c r="W12" s="28"/>
      <c r="X12" s="6" t="s">
        <v>110</v>
      </c>
      <c r="Y12" s="35">
        <f>1-_xlfn.CHISQ.DIST(Y10,2,TRUE)</f>
        <v>0.18521053655471398</v>
      </c>
      <c r="Z12" s="4"/>
      <c r="AA12" s="4"/>
      <c r="AB12" s="4"/>
    </row>
    <row r="13" spans="1:36" x14ac:dyDescent="0.45">
      <c r="A13" t="s">
        <v>54</v>
      </c>
      <c r="C13" s="2">
        <v>1.3116000000000001</v>
      </c>
      <c r="D13" s="2">
        <v>8.8860999999999996E-2</v>
      </c>
      <c r="E13" s="2"/>
      <c r="G13" s="45">
        <f>C13*C33*B43/(B33*C43*$F$28)</f>
        <v>1.2879938734163603</v>
      </c>
      <c r="H13" s="45">
        <f t="shared" si="7"/>
        <v>8.7261683124162229E-2</v>
      </c>
      <c r="N13" s="4">
        <f t="shared" si="8"/>
        <v>169.14790619035708</v>
      </c>
      <c r="O13" s="4">
        <f t="shared" si="9"/>
        <v>131.32663879968464</v>
      </c>
      <c r="Q13" s="4">
        <f t="shared" ref="Q13" si="11">C13/D13^2</f>
        <v>166.10358865079687</v>
      </c>
      <c r="R13" s="4">
        <f t="shared" si="10"/>
        <v>126.64195536047335</v>
      </c>
      <c r="S13" s="4"/>
      <c r="T13" s="34"/>
      <c r="U13" s="6"/>
      <c r="V13" s="28"/>
      <c r="W13" s="6"/>
      <c r="X13" s="6"/>
      <c r="Y13" s="35"/>
      <c r="Z13" s="4"/>
      <c r="AA13" s="4"/>
      <c r="AB13" s="4"/>
    </row>
    <row r="14" spans="1:36" x14ac:dyDescent="0.45">
      <c r="C14" s="2"/>
      <c r="D14" s="2"/>
      <c r="E14" s="2"/>
      <c r="H14" s="2"/>
      <c r="N14" s="4"/>
      <c r="O14" s="4"/>
      <c r="Q14" s="4"/>
      <c r="R14" s="4"/>
      <c r="S14" s="4"/>
      <c r="T14" s="34" t="s">
        <v>63</v>
      </c>
      <c r="U14" s="6" t="s">
        <v>100</v>
      </c>
      <c r="V14" s="28">
        <f>SUM(V3,V5)</f>
        <v>2.0656622676554017E-2</v>
      </c>
      <c r="W14" s="28"/>
      <c r="X14" s="6" t="s">
        <v>100</v>
      </c>
      <c r="Y14" s="35">
        <f>SUM(Y3,Y5)</f>
        <v>4.9710317549431151</v>
      </c>
      <c r="Z14" s="4"/>
      <c r="AA14" s="4"/>
      <c r="AB14" s="4"/>
    </row>
    <row r="15" spans="1:36" x14ac:dyDescent="0.45">
      <c r="A15" s="9" t="s">
        <v>119</v>
      </c>
      <c r="C15" s="2"/>
      <c r="D15" s="2"/>
      <c r="E15" s="2"/>
      <c r="H15" s="2"/>
      <c r="N15" s="4"/>
      <c r="O15" s="4"/>
      <c r="Q15" s="4"/>
      <c r="R15" s="4"/>
      <c r="S15" s="4"/>
      <c r="T15" s="34"/>
      <c r="U15" s="6" t="s">
        <v>98</v>
      </c>
      <c r="V15" s="28">
        <f>V14/1</f>
        <v>2.0656622676554017E-2</v>
      </c>
      <c r="W15" s="28"/>
      <c r="X15" s="6" t="s">
        <v>98</v>
      </c>
      <c r="Y15" s="35">
        <f>Y14/1</f>
        <v>4.9710317549431151</v>
      </c>
      <c r="Z15" s="4"/>
      <c r="AA15" s="4"/>
      <c r="AB15" s="4"/>
    </row>
    <row r="16" spans="1:36" ht="14.65" thickBot="1" x14ac:dyDescent="0.5">
      <c r="A16" t="s">
        <v>4</v>
      </c>
      <c r="C16" s="2">
        <v>1.4341661345184327</v>
      </c>
      <c r="D16" s="2">
        <v>0.10200967838018907</v>
      </c>
      <c r="E16" s="2"/>
      <c r="G16" s="12">
        <f>C16*C34*B44/(B34*C44*$F$28)</f>
        <v>1.3300797092771841</v>
      </c>
      <c r="H16" s="12">
        <f t="shared" ref="H16:H20" si="12">D16/C16*G16</f>
        <v>9.4606196658618052E-2</v>
      </c>
      <c r="N16" s="4">
        <f t="shared" ref="N16:N20" si="13">G16/H16^2</f>
        <v>148.60673804809736</v>
      </c>
      <c r="O16" s="4">
        <f t="shared" ref="O16:O20" si="14">1/H16^2</f>
        <v>111.7276934694808</v>
      </c>
      <c r="Q16" s="4">
        <f>C16/D16^2</f>
        <v>137.82141565210938</v>
      </c>
      <c r="R16" s="4">
        <f t="shared" ref="R16:R20" si="15">1/D16^2</f>
        <v>96.098640411968276</v>
      </c>
      <c r="S16" s="4"/>
      <c r="T16" s="36"/>
      <c r="U16" s="37" t="s">
        <v>110</v>
      </c>
      <c r="V16" s="38">
        <f>1-_xlfn.CHISQ.DIST(V14,1,TRUE)</f>
        <v>0.88571832391694993</v>
      </c>
      <c r="W16" s="38"/>
      <c r="X16" s="37" t="s">
        <v>110</v>
      </c>
      <c r="Y16" s="39">
        <f>1-_xlfn.CHISQ.DIST(Y14,1,TRUE)</f>
        <v>2.577526762199156E-2</v>
      </c>
      <c r="Z16" s="4"/>
      <c r="AA16" s="4"/>
      <c r="AB16" s="4"/>
    </row>
    <row r="17" spans="1:30" x14ac:dyDescent="0.45">
      <c r="A17" t="s">
        <v>5</v>
      </c>
      <c r="C17" s="2">
        <v>1.3440611622471186</v>
      </c>
      <c r="D17" s="2">
        <v>0.10115078602419558</v>
      </c>
      <c r="E17" s="2"/>
      <c r="G17" s="12">
        <f>C17*C35*B45/(B35*C45*$F$28)</f>
        <v>1.2463608834945559</v>
      </c>
      <c r="H17" s="12">
        <f t="shared" si="12"/>
        <v>9.3798099801135335E-2</v>
      </c>
      <c r="N17" s="4">
        <f t="shared" si="13"/>
        <v>141.66277005307967</v>
      </c>
      <c r="O17" s="4">
        <f t="shared" si="14"/>
        <v>113.66111687963486</v>
      </c>
      <c r="Q17" s="4">
        <f t="shared" ref="Q17:Q20" si="16">C17/D17^2</f>
        <v>131.36525345799683</v>
      </c>
      <c r="R17" s="4">
        <f t="shared" si="15"/>
        <v>97.737556257015086</v>
      </c>
      <c r="S17" s="4"/>
      <c r="T17" s="4"/>
      <c r="U17" s="6"/>
      <c r="V17" s="28"/>
      <c r="W17" s="6"/>
      <c r="X17" s="6"/>
      <c r="Y17" s="28"/>
      <c r="Z17" s="4"/>
      <c r="AA17" s="4"/>
      <c r="AB17" s="4"/>
    </row>
    <row r="18" spans="1:30" x14ac:dyDescent="0.45">
      <c r="A18" t="s">
        <v>6</v>
      </c>
      <c r="C18" s="2">
        <v>1.2505195503591453</v>
      </c>
      <c r="D18" s="2">
        <v>9.9853536877777482E-2</v>
      </c>
      <c r="E18" s="2"/>
      <c r="G18" s="12">
        <f>C18*C36*B46/(B36*C46*$F$28)</f>
        <v>1.1593829766181216</v>
      </c>
      <c r="H18" s="12">
        <f t="shared" si="12"/>
        <v>9.2576314203129964E-2</v>
      </c>
      <c r="N18" s="4">
        <f t="shared" si="13"/>
        <v>135.27799174081261</v>
      </c>
      <c r="O18" s="4">
        <f t="shared" si="14"/>
        <v>116.6810229829436</v>
      </c>
      <c r="Q18" s="4">
        <f t="shared" si="16"/>
        <v>125.41907136944906</v>
      </c>
      <c r="R18" s="4">
        <f t="shared" si="15"/>
        <v>100.29357104687335</v>
      </c>
      <c r="S18" s="4"/>
      <c r="T18" s="4"/>
      <c r="U18" s="6"/>
      <c r="V18" s="28"/>
      <c r="W18" s="6"/>
      <c r="X18" s="6"/>
      <c r="Y18" s="28"/>
      <c r="Z18" s="4"/>
      <c r="AA18" s="4"/>
      <c r="AB18" s="4"/>
    </row>
    <row r="19" spans="1:30" x14ac:dyDescent="0.45">
      <c r="A19" t="s">
        <v>7</v>
      </c>
      <c r="C19" s="2">
        <v>1.25291436948136</v>
      </c>
      <c r="D19" s="2">
        <v>8.3979523968900419E-2</v>
      </c>
      <c r="E19" s="2"/>
      <c r="G19" s="12">
        <f>C19*C37*B47/(B37*C47*$F$28)</f>
        <v>1.1592448657028289</v>
      </c>
      <c r="H19" s="12">
        <f t="shared" si="12"/>
        <v>7.7701105802956333E-2</v>
      </c>
      <c r="N19" s="4">
        <f t="shared" si="13"/>
        <v>192.00864466687509</v>
      </c>
      <c r="O19" s="4">
        <f t="shared" si="14"/>
        <v>165.63251677674134</v>
      </c>
      <c r="Q19" s="4">
        <f t="shared" si="16"/>
        <v>177.65382928186244</v>
      </c>
      <c r="R19" s="4">
        <f t="shared" si="15"/>
        <v>141.79247489627059</v>
      </c>
      <c r="S19" s="4"/>
      <c r="T19" s="4"/>
      <c r="U19" s="6"/>
      <c r="V19" s="28"/>
      <c r="W19" s="6"/>
      <c r="X19" s="6"/>
      <c r="Y19" s="28"/>
      <c r="Z19" s="4"/>
      <c r="AA19" s="4"/>
      <c r="AB19" s="4"/>
    </row>
    <row r="20" spans="1:30" x14ac:dyDescent="0.45">
      <c r="A20" t="s">
        <v>8</v>
      </c>
      <c r="C20" s="2">
        <v>1.3124948029171835</v>
      </c>
      <c r="D20" s="2">
        <v>0.1043504840784233</v>
      </c>
      <c r="E20" s="2"/>
      <c r="G20" s="12">
        <f>C20*C38*B48/(B38*C48*$F$28)</f>
        <v>1.2135722056114571</v>
      </c>
      <c r="H20" s="12">
        <f t="shared" si="12"/>
        <v>9.6485598905389353E-2</v>
      </c>
      <c r="N20" s="4">
        <f t="shared" si="13"/>
        <v>130.35888206617804</v>
      </c>
      <c r="O20" s="4">
        <f t="shared" si="14"/>
        <v>107.41749148786482</v>
      </c>
      <c r="Q20" s="4">
        <f t="shared" si="16"/>
        <v>120.53374663158777</v>
      </c>
      <c r="R20" s="4">
        <f t="shared" si="15"/>
        <v>91.835599168611168</v>
      </c>
      <c r="S20" s="4"/>
      <c r="T20" s="4"/>
      <c r="U20" s="6"/>
      <c r="V20" s="28"/>
      <c r="W20" s="6"/>
      <c r="X20" s="6"/>
      <c r="Y20" s="28"/>
      <c r="Z20" s="4"/>
      <c r="AA20" s="4"/>
      <c r="AB20" s="4"/>
    </row>
    <row r="21" spans="1:30" x14ac:dyDescent="0.45">
      <c r="C21" s="2"/>
      <c r="D21" s="2"/>
      <c r="E21" s="2"/>
      <c r="T21" s="4"/>
      <c r="U21" s="6"/>
      <c r="V21" s="28"/>
      <c r="W21" s="6"/>
      <c r="X21" s="6"/>
      <c r="Y21" s="28"/>
    </row>
    <row r="22" spans="1:30" x14ac:dyDescent="0.45">
      <c r="A22" s="9" t="s">
        <v>120</v>
      </c>
      <c r="C22" s="2"/>
      <c r="D22" s="2"/>
      <c r="E22" s="2"/>
      <c r="N22" s="2"/>
      <c r="O22" s="2"/>
      <c r="P22" s="2"/>
      <c r="Q22" s="2"/>
      <c r="R22" s="2"/>
      <c r="S22" s="2"/>
      <c r="U22" s="6"/>
      <c r="V22" s="28"/>
      <c r="W22" s="6"/>
      <c r="X22" s="6"/>
      <c r="Y22" s="6"/>
      <c r="Z22" s="2"/>
      <c r="AA22" s="2"/>
      <c r="AB22" s="2"/>
    </row>
    <row r="23" spans="1:30" x14ac:dyDescent="0.45">
      <c r="A23" t="s">
        <v>55</v>
      </c>
      <c r="D23" s="2"/>
      <c r="E23" s="2"/>
      <c r="F23" s="2"/>
      <c r="G23" s="43">
        <f>SUM(N5:N6)/SUM(O5:O6)</f>
        <v>1.132732106910231</v>
      </c>
      <c r="H23" s="43">
        <f>1/SQRT(SUM(O5:O6))</f>
        <v>5.6223454016505074E-2</v>
      </c>
      <c r="J23" s="23" t="s">
        <v>111</v>
      </c>
      <c r="K23" s="24"/>
      <c r="L23" s="24"/>
      <c r="N23" s="2"/>
      <c r="O23" s="2"/>
      <c r="Q23" s="2"/>
      <c r="R23" s="2"/>
      <c r="T23" s="2"/>
      <c r="U23" s="6"/>
      <c r="V23" s="6"/>
      <c r="W23" s="6"/>
      <c r="X23" s="6"/>
      <c r="Y23" s="6"/>
    </row>
    <row r="24" spans="1:30" x14ac:dyDescent="0.45">
      <c r="A24" t="s">
        <v>56</v>
      </c>
      <c r="D24" s="2"/>
      <c r="E24" s="2"/>
      <c r="F24" s="2"/>
      <c r="G24" s="43">
        <f>SUM(N8:N9)/SUM(O8:O9)</f>
        <v>1.1203463535131781</v>
      </c>
      <c r="H24" s="43">
        <f>1/SQRT(SUM(O8:O9))</f>
        <v>5.318671801786843E-2</v>
      </c>
      <c r="J24" s="23" t="s">
        <v>111</v>
      </c>
      <c r="K24" s="24"/>
      <c r="L24" s="24"/>
      <c r="M24" s="40"/>
      <c r="N24" s="41"/>
      <c r="O24" s="41"/>
      <c r="Q24" s="42"/>
      <c r="R24" s="42"/>
      <c r="U24" s="6"/>
      <c r="V24" s="6"/>
      <c r="W24" s="6"/>
      <c r="X24" s="6"/>
      <c r="Y24" s="6"/>
    </row>
    <row r="25" spans="1:30" x14ac:dyDescent="0.45">
      <c r="A25" t="s">
        <v>57</v>
      </c>
      <c r="C25" s="2"/>
      <c r="D25" s="2"/>
      <c r="E25" s="2"/>
      <c r="G25" s="2">
        <f>SUM(N16:N20)/SUM(O16:O20)</f>
        <v>1.2158850617363943</v>
      </c>
      <c r="H25" s="2">
        <f>1/SQRT(SUM(O16:O20))</f>
        <v>4.0319963656179354E-2</v>
      </c>
      <c r="Q25" s="2"/>
      <c r="R25" s="2"/>
      <c r="U25" s="6"/>
      <c r="V25" s="6"/>
      <c r="W25" s="6"/>
      <c r="X25" s="6"/>
      <c r="Y25" s="6"/>
    </row>
    <row r="26" spans="1:30" x14ac:dyDescent="0.45">
      <c r="U26" s="6"/>
      <c r="V26" s="6"/>
      <c r="W26" s="6"/>
      <c r="X26" s="6"/>
      <c r="Y26" s="6"/>
    </row>
    <row r="27" spans="1:30" ht="15.75" x14ac:dyDescent="0.45">
      <c r="A27" s="13" t="s">
        <v>58</v>
      </c>
      <c r="F27" s="13" t="s">
        <v>59</v>
      </c>
      <c r="U27" s="6"/>
      <c r="V27" s="6"/>
      <c r="W27" s="6"/>
      <c r="X27" s="6"/>
      <c r="Y27" s="6"/>
    </row>
    <row r="28" spans="1:30" ht="15.75" x14ac:dyDescent="0.45">
      <c r="A28" s="14" t="s">
        <v>113</v>
      </c>
      <c r="B28" s="1"/>
      <c r="C28" s="1"/>
      <c r="D28" s="1"/>
      <c r="F28" s="2">
        <f>SUM(Q5:Q20)/SUM(R5:R20)</f>
        <v>1.3197184570200546</v>
      </c>
      <c r="G28" s="2">
        <f>1/SQRT(SUM(R5:R20))</f>
        <v>2.8232596247311153E-2</v>
      </c>
      <c r="H28" t="s">
        <v>60</v>
      </c>
      <c r="U28" s="6"/>
      <c r="V28" s="6"/>
      <c r="W28" s="6"/>
      <c r="X28" s="6"/>
      <c r="Y28" s="6"/>
    </row>
    <row r="29" spans="1:30" x14ac:dyDescent="0.45">
      <c r="A29" s="8" t="s">
        <v>0</v>
      </c>
      <c r="B29" s="8" t="s">
        <v>61</v>
      </c>
      <c r="C29" s="8" t="s">
        <v>62</v>
      </c>
      <c r="D29" s="8" t="s">
        <v>63</v>
      </c>
      <c r="U29" s="6"/>
      <c r="V29" s="6"/>
      <c r="W29" s="6"/>
      <c r="X29" s="6"/>
      <c r="Y29" s="6"/>
    </row>
    <row r="30" spans="1:30" x14ac:dyDescent="0.45">
      <c r="A30" t="s">
        <v>1</v>
      </c>
      <c r="B30" s="2">
        <v>3.3732000000000002</v>
      </c>
      <c r="C30" s="2">
        <v>4.0426000000000002</v>
      </c>
      <c r="D30" s="2">
        <v>3.2395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U30" s="6"/>
      <c r="V30" s="6"/>
      <c r="W30" s="6"/>
      <c r="X30" s="6"/>
      <c r="Y30" s="6"/>
    </row>
    <row r="31" spans="1:30" x14ac:dyDescent="0.45">
      <c r="A31" t="s">
        <v>2</v>
      </c>
      <c r="B31" s="2">
        <v>3.3784000000000001</v>
      </c>
      <c r="C31" s="2">
        <v>4.0465999999999998</v>
      </c>
      <c r="D31" s="2">
        <v>3.2442000000000002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U31" s="6"/>
      <c r="V31" s="6"/>
      <c r="W31" s="6"/>
      <c r="X31" s="6"/>
      <c r="Y31" s="6"/>
    </row>
    <row r="32" spans="1:30" x14ac:dyDescent="0.45">
      <c r="A32" t="s">
        <v>3</v>
      </c>
      <c r="B32" s="2">
        <v>3.4009999999999998</v>
      </c>
      <c r="C32" s="2">
        <v>4.0648999999999997</v>
      </c>
      <c r="D32" s="2">
        <v>3.2654999999999998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U32" s="6"/>
      <c r="V32" s="6"/>
      <c r="W32" s="6"/>
      <c r="X32" s="6"/>
      <c r="Y32" s="6"/>
      <c r="AC32" s="22"/>
      <c r="AD32" s="22"/>
    </row>
    <row r="33" spans="1:25" x14ac:dyDescent="0.45">
      <c r="A33" t="s">
        <v>10</v>
      </c>
      <c r="B33" s="2">
        <v>20.420400000000001</v>
      </c>
      <c r="C33" s="2">
        <v>28.072700000000001</v>
      </c>
      <c r="D33" s="2">
        <v>19.038699999999999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U33" s="6"/>
      <c r="V33" s="6"/>
      <c r="W33" s="6"/>
      <c r="X33" s="6"/>
      <c r="Y33" s="6"/>
    </row>
    <row r="34" spans="1:25" x14ac:dyDescent="0.45">
      <c r="A34" t="s">
        <v>4</v>
      </c>
      <c r="B34" s="2">
        <v>9.9361999999999995</v>
      </c>
      <c r="C34" s="2">
        <v>13.481199999999999</v>
      </c>
      <c r="D34" s="2">
        <v>9.3313000000000006</v>
      </c>
      <c r="F34" s="2"/>
      <c r="G34" s="2"/>
      <c r="H34" s="2"/>
      <c r="I34" s="2"/>
      <c r="J34" s="2"/>
      <c r="K34" s="2"/>
      <c r="U34" s="6"/>
      <c r="V34" s="6"/>
      <c r="W34" s="6"/>
      <c r="X34" s="6"/>
      <c r="Y34" s="6"/>
    </row>
    <row r="35" spans="1:25" x14ac:dyDescent="0.45">
      <c r="A35" t="s">
        <v>5</v>
      </c>
      <c r="B35" s="2">
        <v>9.9244000000000003</v>
      </c>
      <c r="C35" s="2">
        <v>13.4635</v>
      </c>
      <c r="D35" s="2">
        <v>9.3203999999999994</v>
      </c>
      <c r="U35" s="6"/>
      <c r="V35" s="6"/>
      <c r="W35" s="6"/>
      <c r="X35" s="6"/>
      <c r="Y35" s="6"/>
    </row>
    <row r="36" spans="1:25" x14ac:dyDescent="0.45">
      <c r="A36" t="s">
        <v>6</v>
      </c>
      <c r="B36" s="2">
        <v>9.9064999999999994</v>
      </c>
      <c r="C36" s="2">
        <v>13.436500000000001</v>
      </c>
      <c r="D36" s="2">
        <v>9.3038000000000007</v>
      </c>
      <c r="U36" s="7"/>
      <c r="V36" s="7"/>
      <c r="W36" s="7"/>
      <c r="X36" s="7"/>
      <c r="Y36" s="7"/>
    </row>
    <row r="37" spans="1:25" x14ac:dyDescent="0.45">
      <c r="A37" t="s">
        <v>7</v>
      </c>
      <c r="B37" s="2">
        <v>9.7931000000000008</v>
      </c>
      <c r="C37" s="2">
        <v>13.237399999999999</v>
      </c>
      <c r="D37" s="2">
        <v>9.1979000000000006</v>
      </c>
      <c r="U37" s="7"/>
      <c r="V37" s="7"/>
      <c r="W37" s="7"/>
      <c r="X37" s="7"/>
      <c r="Y37" s="7"/>
    </row>
    <row r="38" spans="1:25" x14ac:dyDescent="0.45">
      <c r="A38" t="s">
        <v>8</v>
      </c>
      <c r="B38" s="2">
        <v>9.7357999999999993</v>
      </c>
      <c r="C38" s="2">
        <v>13.1503</v>
      </c>
      <c r="D38" s="2">
        <v>9.1448999999999998</v>
      </c>
      <c r="U38" s="7"/>
      <c r="V38" s="7"/>
      <c r="W38" s="7"/>
      <c r="X38" s="7"/>
      <c r="Y38" s="7"/>
    </row>
    <row r="39" spans="1:25" x14ac:dyDescent="0.45">
      <c r="A39" s="15" t="s">
        <v>64</v>
      </c>
      <c r="B39" s="2"/>
      <c r="C39" s="2"/>
      <c r="D39" s="2"/>
    </row>
    <row r="40" spans="1:25" x14ac:dyDescent="0.45">
      <c r="A40" t="s">
        <v>1</v>
      </c>
      <c r="B40" s="2">
        <v>0.81666000000000005</v>
      </c>
      <c r="C40" s="2">
        <v>0.89354</v>
      </c>
      <c r="D40" s="2">
        <v>0.81579999999999997</v>
      </c>
    </row>
    <row r="41" spans="1:25" x14ac:dyDescent="0.45">
      <c r="A41" t="s">
        <v>2</v>
      </c>
      <c r="B41" s="2">
        <v>0.81823000000000001</v>
      </c>
      <c r="C41" s="2">
        <v>0.89468999999999999</v>
      </c>
      <c r="D41" s="2">
        <v>0.81728000000000001</v>
      </c>
    </row>
    <row r="42" spans="1:25" x14ac:dyDescent="0.45">
      <c r="A42" t="s">
        <v>3</v>
      </c>
      <c r="B42" s="2">
        <v>0.82274000000000003</v>
      </c>
      <c r="C42" s="2">
        <v>0.89739999999999998</v>
      </c>
      <c r="D42" s="2">
        <v>0.82167000000000001</v>
      </c>
    </row>
    <row r="43" spans="1:25" x14ac:dyDescent="0.45">
      <c r="A43" t="s">
        <v>10</v>
      </c>
      <c r="B43" s="2">
        <v>0.89071999999999996</v>
      </c>
      <c r="C43" s="2">
        <v>0.94486000000000003</v>
      </c>
      <c r="D43" s="2">
        <v>0.88800999999999997</v>
      </c>
    </row>
    <row r="44" spans="1:25" x14ac:dyDescent="0.45">
      <c r="A44" t="s">
        <v>4</v>
      </c>
      <c r="B44" s="2">
        <v>0.78317000000000003</v>
      </c>
      <c r="C44" s="2">
        <v>0.86817</v>
      </c>
      <c r="D44" s="2">
        <v>0.78408</v>
      </c>
    </row>
    <row r="45" spans="1:25" x14ac:dyDescent="0.45">
      <c r="A45" t="s">
        <v>5</v>
      </c>
      <c r="B45" s="2">
        <v>0.78319000000000005</v>
      </c>
      <c r="C45" s="2">
        <v>0.86819000000000002</v>
      </c>
      <c r="D45" s="2">
        <v>0.78410000000000002</v>
      </c>
    </row>
    <row r="46" spans="1:25" x14ac:dyDescent="0.45">
      <c r="A46" t="s">
        <v>6</v>
      </c>
      <c r="B46" s="2">
        <v>0.78317999999999999</v>
      </c>
      <c r="C46" s="2">
        <v>0.86817999999999995</v>
      </c>
      <c r="D46" s="2">
        <v>0.78408999999999995</v>
      </c>
    </row>
    <row r="47" spans="1:25" x14ac:dyDescent="0.45">
      <c r="A47" t="s">
        <v>7</v>
      </c>
      <c r="B47" s="2">
        <v>0.78720000000000001</v>
      </c>
      <c r="C47" s="2">
        <v>0.87143000000000004</v>
      </c>
      <c r="D47" s="2">
        <v>0.78783999999999998</v>
      </c>
    </row>
    <row r="48" spans="1:25" x14ac:dyDescent="0.45">
      <c r="A48" t="s">
        <v>8</v>
      </c>
      <c r="B48" s="2">
        <v>0.78744000000000003</v>
      </c>
      <c r="C48" s="2">
        <v>0.87163000000000002</v>
      </c>
      <c r="D48" s="2">
        <v>0.78807000000000005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Inputs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 Moore</cp:lastModifiedBy>
  <dcterms:created xsi:type="dcterms:W3CDTF">2019-02-13T18:12:28Z</dcterms:created>
  <dcterms:modified xsi:type="dcterms:W3CDTF">2024-04-01T20:07:31Z</dcterms:modified>
</cp:coreProperties>
</file>