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gus\Desktop\Graduate School New\Antarctic Production Scaling\Scaling Manuscript\Scaling Paper Codes\Data\"/>
    </mc:Choice>
  </mc:AlternateContent>
  <xr:revisionPtr revIDLastSave="0" documentId="13_ncr:1_{48A9DA0A-83BD-43DB-8806-223FB8BB00E6}" xr6:coauthVersionLast="47" xr6:coauthVersionMax="47" xr10:uidLastSave="{00000000-0000-0000-0000-000000000000}"/>
  <bookViews>
    <workbookView xWindow="-110" yWindow="-110" windowWidth="19420" windowHeight="10300" activeTab="2" xr2:uid="{8341ED14-962C-4ADA-A215-05A8A2859F36}"/>
  </bookViews>
  <sheets>
    <sheet name="Notes" sheetId="10" r:id="rId1"/>
    <sheet name="Inputs" sheetId="9" r:id="rId2"/>
    <sheet name="Results" sheetId="1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2" l="1"/>
  <c r="E23" i="12"/>
  <c r="AC5" i="12"/>
  <c r="AB5" i="12"/>
  <c r="AB4" i="12"/>
  <c r="F28" i="12"/>
  <c r="Q12" i="12"/>
  <c r="R12" i="12"/>
  <c r="Q13" i="12"/>
  <c r="R13" i="12"/>
  <c r="AI7" i="12"/>
  <c r="AJ4" i="12"/>
  <c r="AI6" i="12"/>
  <c r="AJ7" i="12"/>
  <c r="AJ6" i="12"/>
  <c r="Q16" i="12"/>
  <c r="R20" i="12"/>
  <c r="R19" i="12"/>
  <c r="R18" i="12"/>
  <c r="R17" i="12"/>
  <c r="R16" i="12"/>
  <c r="R9" i="12"/>
  <c r="R8" i="12"/>
  <c r="R6" i="12"/>
  <c r="R5" i="12"/>
  <c r="Q20" i="12"/>
  <c r="Q19" i="12"/>
  <c r="Q18" i="12"/>
  <c r="Q17" i="12"/>
  <c r="Q9" i="12"/>
  <c r="Q8" i="12"/>
  <c r="Q6" i="12"/>
  <c r="Q5" i="12"/>
  <c r="AI5" i="12" l="1"/>
  <c r="AJ5" i="12"/>
  <c r="AG9" i="12" s="1"/>
  <c r="AI4" i="12"/>
  <c r="G28" i="12"/>
  <c r="G8" i="12"/>
  <c r="AF9" i="12" l="1"/>
  <c r="G20" i="12"/>
  <c r="G6" i="12"/>
  <c r="H8" i="12"/>
  <c r="O8" i="12" s="1"/>
  <c r="G9" i="12"/>
  <c r="G16" i="12"/>
  <c r="G12" i="12"/>
  <c r="G17" i="12"/>
  <c r="G13" i="12"/>
  <c r="G5" i="12"/>
  <c r="G18" i="12"/>
  <c r="G19" i="12"/>
  <c r="G7" i="12"/>
  <c r="H4" i="12" l="1"/>
  <c r="O4" i="12" s="1"/>
  <c r="H7" i="12"/>
  <c r="O7" i="12" s="1"/>
  <c r="H12" i="12"/>
  <c r="H13" i="12"/>
  <c r="H16" i="12"/>
  <c r="O16" i="12" s="1"/>
  <c r="H19" i="12"/>
  <c r="O19" i="12" s="1"/>
  <c r="H18" i="12"/>
  <c r="O18" i="12" s="1"/>
  <c r="H6" i="12"/>
  <c r="O6" i="12" s="1"/>
  <c r="H9" i="12"/>
  <c r="O9" i="12" s="1"/>
  <c r="H24" i="12" s="1"/>
  <c r="H5" i="12"/>
  <c r="O5" i="12" s="1"/>
  <c r="H20" i="12"/>
  <c r="O20" i="12" s="1"/>
  <c r="H17" i="12"/>
  <c r="O17" i="12" s="1"/>
  <c r="N8" i="12"/>
  <c r="V6" i="12" l="1"/>
  <c r="O13" i="12"/>
  <c r="V5" i="12"/>
  <c r="O12" i="12"/>
  <c r="N13" i="12"/>
  <c r="N12" i="12"/>
  <c r="H25" i="12"/>
  <c r="N7" i="12"/>
  <c r="N4" i="12"/>
  <c r="H23" i="12"/>
  <c r="F23" i="12"/>
  <c r="F24" i="12"/>
  <c r="N9" i="12"/>
  <c r="G24" i="12" s="1"/>
  <c r="N18" i="12"/>
  <c r="N6" i="12"/>
  <c r="N17" i="12"/>
  <c r="N16" i="12"/>
  <c r="N5" i="12"/>
  <c r="N20" i="12"/>
  <c r="N19" i="12"/>
  <c r="V4" i="12" l="1"/>
  <c r="G25" i="12"/>
  <c r="X4" i="12" s="1"/>
  <c r="E24" i="12"/>
  <c r="G23" i="12"/>
  <c r="V7" i="12" l="1"/>
  <c r="V10" i="12" s="1"/>
  <c r="V12" i="12" s="1"/>
  <c r="X3" i="12"/>
  <c r="Y3" i="12" s="1"/>
  <c r="V3" i="12"/>
  <c r="V14" i="12" s="1"/>
  <c r="AC4" i="12"/>
  <c r="V11" i="12" l="1"/>
  <c r="X5" i="12"/>
  <c r="Y5" i="12" s="1"/>
  <c r="Y14" i="12" s="1"/>
  <c r="X7" i="12"/>
  <c r="Y7" i="12" s="1"/>
  <c r="Y4" i="12"/>
  <c r="V16" i="12"/>
  <c r="V15" i="12"/>
  <c r="X6" i="12"/>
  <c r="Y6" i="12" s="1"/>
  <c r="Y10" i="12" l="1"/>
  <c r="Y16" i="12"/>
  <c r="Y15" i="12"/>
  <c r="Y12" i="12" l="1"/>
  <c r="Y11" i="12"/>
</calcChain>
</file>

<file path=xl/sharedStrings.xml><?xml version="1.0" encoding="utf-8"?>
<sst xmlns="http://schemas.openxmlformats.org/spreadsheetml/2006/main" count="233" uniqueCount="125">
  <si>
    <t>ID</t>
  </si>
  <si>
    <t>OV19-1</t>
  </si>
  <si>
    <t>OV19-2</t>
  </si>
  <si>
    <t>OV19-3</t>
  </si>
  <si>
    <t>BL15-1</t>
  </si>
  <si>
    <t>BL15-2</t>
  </si>
  <si>
    <t>BL15-3</t>
  </si>
  <si>
    <t>LL15-1</t>
  </si>
  <si>
    <t>LL15-2</t>
  </si>
  <si>
    <t>error</t>
  </si>
  <si>
    <t>97EV14B</t>
  </si>
  <si>
    <t>N10</t>
  </si>
  <si>
    <t>thickness</t>
  </si>
  <si>
    <t>lambdaeff</t>
  </si>
  <si>
    <t>lambdaFe</t>
  </si>
  <si>
    <t>P10mu</t>
  </si>
  <si>
    <t>P10s</t>
  </si>
  <si>
    <t>S_Fe</t>
  </si>
  <si>
    <t xml:space="preserve">N36 mt. </t>
  </si>
  <si>
    <t>N36 K-sp</t>
  </si>
  <si>
    <t>Conc. K</t>
  </si>
  <si>
    <t>S_K</t>
  </si>
  <si>
    <t>lambdaK</t>
  </si>
  <si>
    <t>PKs</t>
  </si>
  <si>
    <t>ePKs</t>
  </si>
  <si>
    <t>Conc. Fe</t>
  </si>
  <si>
    <t>lat</t>
  </si>
  <si>
    <t>lon</t>
  </si>
  <si>
    <t>alt</t>
  </si>
  <si>
    <t>atm</t>
  </si>
  <si>
    <t>w</t>
  </si>
  <si>
    <t xml:space="preserve">age </t>
  </si>
  <si>
    <t>misc_mt_sp</t>
  </si>
  <si>
    <t>misc_fs_sp</t>
  </si>
  <si>
    <t xml:space="preserve">Sample identity </t>
  </si>
  <si>
    <t>Latitude (degrees N)</t>
  </si>
  <si>
    <t xml:space="preserve">longitude (degrees E) </t>
  </si>
  <si>
    <t>altitude (m asl)</t>
  </si>
  <si>
    <r>
      <t>sample thickness (g cm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</si>
  <si>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fractional concentration of K in the sample (dimensionless)</t>
  </si>
  <si>
    <t>fractional concentration of Fe in the sample (dimensionless)</t>
  </si>
  <si>
    <r>
      <t xml:space="preserve">Scaling factor for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production from K (dimensionless)</t>
    </r>
  </si>
  <si>
    <r>
      <t xml:space="preserve">Scaling factor for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production from Fe (dimensionless)</t>
    </r>
  </si>
  <si>
    <t>-</t>
  </si>
  <si>
    <t xml:space="preserve">Scaling Factor Ratios </t>
  </si>
  <si>
    <t>Owens Valley, 2019</t>
  </si>
  <si>
    <t>OV19-1 Fe/K</t>
  </si>
  <si>
    <t>OV19-2 Fe/K</t>
  </si>
  <si>
    <t>OV19-3 Fe/K</t>
  </si>
  <si>
    <t>OV19-1 Fe/Qtz</t>
  </si>
  <si>
    <t>OV19-2 Fe/Qtz</t>
  </si>
  <si>
    <t>OV19-3 Fe/Qtz</t>
  </si>
  <si>
    <t xml:space="preserve">Mt Evans, 1997  </t>
  </si>
  <si>
    <t>97EV14B-Fe/K</t>
  </si>
  <si>
    <t>97EV14B-Fe/Qtz</t>
  </si>
  <si>
    <t>Owens Valley Cl</t>
  </si>
  <si>
    <t>Owens Valley Be</t>
  </si>
  <si>
    <t xml:space="preserve">Sierra Nevada </t>
  </si>
  <si>
    <t xml:space="preserve">Scaling Factors </t>
  </si>
  <si>
    <r>
      <t xml:space="preserve">Reference </t>
    </r>
    <r>
      <rPr>
        <b/>
        <vertAlign val="superscript"/>
        <sz val="11"/>
        <color theme="1"/>
        <rFont val="Calibri"/>
        <family val="2"/>
        <scheme val="minor"/>
      </rPr>
      <t>36</t>
    </r>
    <r>
      <rPr>
        <b/>
        <sz val="11"/>
        <color theme="1"/>
        <rFont val="Calibri"/>
        <family val="2"/>
        <scheme val="minor"/>
      </rPr>
      <t>Cl production rate from Fe at sea level and high latitude (weighted average of all data)</t>
    </r>
  </si>
  <si>
    <r>
      <t>atoms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yr</t>
    </r>
    <r>
      <rPr>
        <vertAlign val="superscript"/>
        <sz val="11"/>
        <color theme="1"/>
        <rFont val="Calibri"/>
        <family val="2"/>
        <scheme val="minor"/>
      </rPr>
      <t>-1</t>
    </r>
  </si>
  <si>
    <t>Be</t>
  </si>
  <si>
    <t>Fe</t>
  </si>
  <si>
    <t>K</t>
  </si>
  <si>
    <t xml:space="preserve">at sea level </t>
  </si>
  <si>
    <t>Prod. fs.</t>
  </si>
  <si>
    <t>misc_prod</t>
  </si>
  <si>
    <t xml:space="preserve">Name </t>
  </si>
  <si>
    <t>Misc. mt.</t>
  </si>
  <si>
    <r>
      <t xml:space="preserve">Surface production rate of 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Be by muon interactions (atoms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</si>
  <si>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 xml:space="preserve">Prod. fs. </t>
  </si>
  <si>
    <r>
      <t xml:space="preserve">production rate of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in magnetite by spallation on elements other than Fe (Mt. Evans only)</t>
    </r>
  </si>
  <si>
    <r>
      <t xml:space="preserve">Production rate of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in K-feldspar (atoms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 (Mt. Evans only)</t>
    </r>
  </si>
  <si>
    <r>
      <t xml:space="preserve">Production rate of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in feldspar from target elements other than K</t>
    </r>
  </si>
  <si>
    <t xml:space="preserve">fractional water content of the ground (0.066 is used for all calculations) </t>
  </si>
  <si>
    <t>exposure age (yrs. BP)</t>
  </si>
  <si>
    <t xml:space="preserve">Variable index: This sheet contains explanations of the parameters in "Inputs" that are used in the calibration codes. </t>
  </si>
  <si>
    <t>atmospheric pressure model (ERA40 (2) is used for all calculations)</t>
  </si>
  <si>
    <r>
      <t xml:space="preserve">Concentration of 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Be in quartz (atoms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</si>
  <si>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 xml:space="preserve">Concentration of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in magnetite (atoms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</si>
  <si>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 xml:space="preserve">Production rate of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in magnetite from pathways other than spallation on Fe (atoms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</si>
  <si>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 xml:space="preserve">effective attenuation length for 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Be production (g cm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</si>
  <si>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 xml:space="preserve">effective attenuation length for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production from Fe (g cm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 (Owens Valley only)</t>
    </r>
  </si>
  <si>
    <r>
      <t xml:space="preserve">Surface production rate of 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Be by spallation (atoms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</si>
  <si>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 xml:space="preserve">concentration of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in K-feldspar (atoms/g)</t>
    </r>
  </si>
  <si>
    <r>
      <t xml:space="preserve">production rate of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in feldspar (atoms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</si>
  <si>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 xml:space="preserve">Production rate of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in feldspar from pathways other than spallation on K (Owens Valley only)</t>
    </r>
  </si>
  <si>
    <r>
      <t xml:space="preserve">effective attenuation length for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production from K (g cm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 (Owens Valley only)</t>
    </r>
  </si>
  <si>
    <t>Notes:</t>
  </si>
  <si>
    <t xml:space="preserve">Errors on production rates include internal uncertainties only. </t>
  </si>
  <si>
    <t>Ratio</t>
  </si>
  <si>
    <t xml:space="preserve">Weighted average calcs. </t>
  </si>
  <si>
    <t>SLHL Production Rates from K</t>
  </si>
  <si>
    <t>Rate</t>
  </si>
  <si>
    <t>Error</t>
  </si>
  <si>
    <t>Average</t>
  </si>
  <si>
    <t>Normalized to Be-10 in qtz.</t>
  </si>
  <si>
    <t xml:space="preserve">Excluded as outlier. See text for discussion. </t>
  </si>
  <si>
    <t>Normalized to Cl-36 from K.</t>
  </si>
  <si>
    <t xml:space="preserve">apparent age </t>
  </si>
  <si>
    <t xml:space="preserve">z-test </t>
  </si>
  <si>
    <t>MSWD</t>
  </si>
  <si>
    <t>Statistics</t>
  </si>
  <si>
    <t>Chi</t>
  </si>
  <si>
    <t>Modeled Ratio</t>
  </si>
  <si>
    <t>Avg. ratio</t>
  </si>
  <si>
    <t>OV19-K</t>
  </si>
  <si>
    <t>OV19-Qtz</t>
  </si>
  <si>
    <t>Evans-K</t>
  </si>
  <si>
    <t>Evans-Qtz</t>
  </si>
  <si>
    <t>Sierra Nevada-Qtz</t>
  </si>
  <si>
    <t>test statistic</t>
  </si>
  <si>
    <t>cum. dist.</t>
  </si>
  <si>
    <t>p</t>
  </si>
  <si>
    <t>Excluding OV19-1 as an outlier</t>
  </si>
  <si>
    <t>Final Statistics</t>
  </si>
  <si>
    <t>at sample's elevation</t>
  </si>
  <si>
    <r>
      <t>atoms g Fe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</si>
  <si>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atoms g K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yr</t>
    </r>
    <r>
      <rPr>
        <vertAlign val="superscript"/>
        <sz val="11"/>
        <color theme="1"/>
        <rFont val="Calibri"/>
        <family val="2"/>
        <scheme val="minor"/>
      </rPr>
      <t>-1</t>
    </r>
  </si>
  <si>
    <t>chi-squared</t>
  </si>
  <si>
    <t xml:space="preserve">Reaction-Specific </t>
  </si>
  <si>
    <t>Uniform-flux</t>
  </si>
  <si>
    <t>Calibrated SLHL Production Rates from Fe (output from codes)</t>
  </si>
  <si>
    <t>Sierra Nevada Quartz (from Moore &amp; Granger, 2019)</t>
  </si>
  <si>
    <t xml:space="preserve">Weighted Averages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</si>
</sst>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9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3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2" fillId="0" borderId="0" xfId="0" applyFont="1"/>
    <xf numFmtId="0" fontId="5" fillId="2" borderId="0" xfId="0" applyFont="1" applyFill="1"/>
    <xf numFmtId="0" fontId="5" fillId="0" borderId="0" xfId="0" applyFont="1"/>
    <xf numFmtId="0" fontId="0" fillId="2" borderId="1" xfId="0" applyFill="1" applyBorder="1"/>
    <xf numFmtId="0" fontId="0" fillId="2" borderId="2" xfId="0" applyFill="1" applyBorder="1"/>
    <xf numFmtId="0" fontId="6" fillId="0" borderId="0" xfId="0" applyFont="1"/>
    <xf numFmtId="0" fontId="7" fillId="0" borderId="0" xfId="0" applyFont="1"/>
    <xf numFmtId="0" fontId="7" fillId="2" borderId="0" xfId="0" applyFont="1" applyFill="1"/>
    <xf numFmtId="2" fontId="0" fillId="2" borderId="0" xfId="0" applyNumberFormat="1" applyFill="1"/>
    <xf numFmtId="11" fontId="0" fillId="0" borderId="0" xfId="0" applyNumberFormat="1"/>
    <xf numFmtId="1" fontId="0" fillId="5" borderId="0" xfId="0" applyNumberFormat="1" applyFill="1"/>
    <xf numFmtId="0" fontId="0" fillId="5" borderId="0" xfId="0" applyFill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6" fillId="2" borderId="0" xfId="0" applyFont="1" applyFill="1"/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3" xfId="0" applyNumberFormat="1" applyFill="1" applyBorder="1"/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" fontId="0" fillId="0" borderId="5" xfId="0" applyNumberFormat="1" applyFill="1" applyBorder="1"/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" fontId="0" fillId="0" borderId="7" xfId="0" applyNumberFormat="1" applyFill="1" applyBorder="1"/>
    <xf numFmtId="2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2" fontId="0" fillId="5" borderId="0" xfId="0" applyNumberFormat="1" applyFill="1"/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BC77-44AF-41C5-A870-8A16B4FD8670}">
  <dimension ref="A1:B30"/>
  <sheetViews>
    <sheetView workbookViewId="0">
      <selection activeCell="B30" sqref="B30"/>
    </sheetView>
  </sheetViews>
  <sheetFormatPr defaultRowHeight="14.5" x14ac:dyDescent="0.35"/>
  <cols>
    <col min="1" max="1" width="13" customWidth="1"/>
    <col min="2" max="2" width="88.6328125" customWidth="1"/>
  </cols>
  <sheetData>
    <row r="1" spans="1:2" ht="15" thickBot="1" x14ac:dyDescent="0.4">
      <c r="A1" t="s">
        <v>76</v>
      </c>
    </row>
    <row r="2" spans="1:2" x14ac:dyDescent="0.35">
      <c r="A2" s="16"/>
      <c r="B2" s="16"/>
    </row>
    <row r="3" spans="1:2" ht="15" thickBot="1" x14ac:dyDescent="0.4">
      <c r="A3" s="17" t="s">
        <v>67</v>
      </c>
      <c r="B3" s="17"/>
    </row>
    <row r="4" spans="1:2" x14ac:dyDescent="0.35">
      <c r="A4" t="s">
        <v>0</v>
      </c>
      <c r="B4" t="s">
        <v>34</v>
      </c>
    </row>
    <row r="5" spans="1:2" ht="16.5" x14ac:dyDescent="0.35">
      <c r="A5" t="s">
        <v>11</v>
      </c>
      <c r="B5" t="s">
        <v>78</v>
      </c>
    </row>
    <row r="6" spans="1:2" ht="16.5" x14ac:dyDescent="0.35">
      <c r="A6" t="s">
        <v>18</v>
      </c>
      <c r="B6" t="s">
        <v>79</v>
      </c>
    </row>
    <row r="7" spans="1:2" ht="16.5" x14ac:dyDescent="0.35">
      <c r="A7" t="s">
        <v>68</v>
      </c>
      <c r="B7" t="s">
        <v>80</v>
      </c>
    </row>
    <row r="8" spans="1:2" ht="16.5" x14ac:dyDescent="0.35">
      <c r="A8" t="s">
        <v>12</v>
      </c>
      <c r="B8" t="s">
        <v>38</v>
      </c>
    </row>
    <row r="9" spans="1:2" ht="16.5" x14ac:dyDescent="0.35">
      <c r="A9" t="s">
        <v>13</v>
      </c>
      <c r="B9" t="s">
        <v>81</v>
      </c>
    </row>
    <row r="10" spans="1:2" ht="16.5" x14ac:dyDescent="0.35">
      <c r="A10" t="s">
        <v>14</v>
      </c>
      <c r="B10" t="s">
        <v>82</v>
      </c>
    </row>
    <row r="11" spans="1:2" ht="16.5" x14ac:dyDescent="0.35">
      <c r="A11" t="s">
        <v>15</v>
      </c>
      <c r="B11" t="s">
        <v>69</v>
      </c>
    </row>
    <row r="12" spans="1:2" ht="16.5" x14ac:dyDescent="0.35">
      <c r="A12" t="s">
        <v>16</v>
      </c>
      <c r="B12" t="s">
        <v>83</v>
      </c>
    </row>
    <row r="13" spans="1:2" ht="16.5" x14ac:dyDescent="0.35">
      <c r="A13" t="s">
        <v>17</v>
      </c>
      <c r="B13" t="s">
        <v>42</v>
      </c>
    </row>
    <row r="14" spans="1:2" x14ac:dyDescent="0.35">
      <c r="A14" s="2" t="s">
        <v>25</v>
      </c>
      <c r="B14" t="s">
        <v>40</v>
      </c>
    </row>
    <row r="15" spans="1:2" ht="16.5" x14ac:dyDescent="0.35">
      <c r="A15" t="s">
        <v>32</v>
      </c>
      <c r="B15" t="s">
        <v>71</v>
      </c>
    </row>
    <row r="17" spans="1:2" ht="16.5" x14ac:dyDescent="0.35">
      <c r="A17" t="s">
        <v>19</v>
      </c>
      <c r="B17" t="s">
        <v>84</v>
      </c>
    </row>
    <row r="18" spans="1:2" ht="16.5" x14ac:dyDescent="0.35">
      <c r="A18" t="s">
        <v>70</v>
      </c>
      <c r="B18" t="s">
        <v>85</v>
      </c>
    </row>
    <row r="19" spans="1:2" x14ac:dyDescent="0.35">
      <c r="A19" t="s">
        <v>20</v>
      </c>
      <c r="B19" t="s">
        <v>39</v>
      </c>
    </row>
    <row r="20" spans="1:2" ht="16.5" x14ac:dyDescent="0.35">
      <c r="A20" t="s">
        <v>21</v>
      </c>
      <c r="B20" t="s">
        <v>41</v>
      </c>
    </row>
    <row r="21" spans="1:2" ht="16.5" x14ac:dyDescent="0.35">
      <c r="A21" t="s">
        <v>22</v>
      </c>
      <c r="B21" t="s">
        <v>87</v>
      </c>
    </row>
    <row r="22" spans="1:2" ht="16.5" x14ac:dyDescent="0.35">
      <c r="A22" t="s">
        <v>23</v>
      </c>
      <c r="B22" t="s">
        <v>72</v>
      </c>
    </row>
    <row r="23" spans="1:2" ht="16.5" x14ac:dyDescent="0.35">
      <c r="A23" t="s">
        <v>33</v>
      </c>
      <c r="B23" t="s">
        <v>73</v>
      </c>
    </row>
    <row r="24" spans="1:2" ht="16.5" x14ac:dyDescent="0.35">
      <c r="A24" t="s">
        <v>66</v>
      </c>
      <c r="B24" t="s">
        <v>86</v>
      </c>
    </row>
    <row r="25" spans="1:2" x14ac:dyDescent="0.35">
      <c r="A25" t="s">
        <v>26</v>
      </c>
      <c r="B25" t="s">
        <v>35</v>
      </c>
    </row>
    <row r="26" spans="1:2" x14ac:dyDescent="0.35">
      <c r="A26" t="s">
        <v>27</v>
      </c>
      <c r="B26" t="s">
        <v>36</v>
      </c>
    </row>
    <row r="27" spans="1:2" x14ac:dyDescent="0.35">
      <c r="A27" t="s">
        <v>28</v>
      </c>
      <c r="B27" t="s">
        <v>37</v>
      </c>
    </row>
    <row r="28" spans="1:2" x14ac:dyDescent="0.35">
      <c r="A28" t="s">
        <v>29</v>
      </c>
      <c r="B28" t="s">
        <v>77</v>
      </c>
    </row>
    <row r="29" spans="1:2" x14ac:dyDescent="0.35">
      <c r="A29" t="s">
        <v>30</v>
      </c>
      <c r="B29" t="s">
        <v>74</v>
      </c>
    </row>
    <row r="30" spans="1:2" x14ac:dyDescent="0.35">
      <c r="A30" t="s">
        <v>31</v>
      </c>
      <c r="B30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8410-CEFF-4596-9DB3-182C71CC47C2}">
  <dimension ref="A1:P25"/>
  <sheetViews>
    <sheetView workbookViewId="0">
      <selection activeCell="H1" sqref="H1"/>
    </sheetView>
  </sheetViews>
  <sheetFormatPr defaultRowHeight="14.5" x14ac:dyDescent="0.35"/>
  <cols>
    <col min="1" max="13" width="12.6328125" customWidth="1"/>
    <col min="14" max="14" width="12.6328125" style="2" customWidth="1"/>
    <col min="15" max="17" width="12.6328125" customWidth="1"/>
  </cols>
  <sheetData>
    <row r="1" spans="1:16" x14ac:dyDescent="0.35">
      <c r="A1" s="1" t="s">
        <v>0</v>
      </c>
      <c r="B1" s="1" t="s">
        <v>11</v>
      </c>
      <c r="C1" s="1" t="s">
        <v>9</v>
      </c>
      <c r="D1" s="1" t="s">
        <v>18</v>
      </c>
      <c r="E1" s="1" t="s">
        <v>9</v>
      </c>
      <c r="F1" s="1" t="s">
        <v>68</v>
      </c>
      <c r="G1" s="1" t="s">
        <v>9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21" t="s">
        <v>25</v>
      </c>
      <c r="O1" s="1" t="s">
        <v>9</v>
      </c>
      <c r="P1" s="1" t="s">
        <v>32</v>
      </c>
    </row>
    <row r="2" spans="1:16" x14ac:dyDescent="0.35">
      <c r="A2" t="s">
        <v>1</v>
      </c>
      <c r="B2" s="25">
        <v>278945.54915103881</v>
      </c>
      <c r="C2" s="25">
        <v>10481.575014284355</v>
      </c>
      <c r="D2" s="25">
        <v>81136.4071666276</v>
      </c>
      <c r="E2" s="25">
        <v>6289.7564240093861</v>
      </c>
      <c r="F2" s="6">
        <v>2.0010339401148594</v>
      </c>
      <c r="G2" s="6">
        <v>6.5747430632707077E-2</v>
      </c>
      <c r="H2" s="25">
        <v>32.400000000000006</v>
      </c>
      <c r="I2" s="7">
        <v>160</v>
      </c>
      <c r="J2" s="7">
        <v>146</v>
      </c>
      <c r="K2" s="6">
        <v>0.1152</v>
      </c>
      <c r="L2" s="6">
        <v>13.222944</v>
      </c>
      <c r="M2" s="6">
        <v>4.0426000000000002</v>
      </c>
      <c r="N2" s="28">
        <v>0.73553206608209598</v>
      </c>
      <c r="O2" s="28">
        <v>1.1932066082095901E-2</v>
      </c>
      <c r="P2" s="28" t="s">
        <v>43</v>
      </c>
    </row>
    <row r="3" spans="1:16" x14ac:dyDescent="0.35">
      <c r="A3" t="s">
        <v>2</v>
      </c>
      <c r="B3" s="25">
        <v>286072.7934187174</v>
      </c>
      <c r="C3" s="25">
        <v>8714.9630511172745</v>
      </c>
      <c r="D3" s="25">
        <v>94309.195879319173</v>
      </c>
      <c r="E3" s="25">
        <v>4571.3352937222808</v>
      </c>
      <c r="F3" s="6">
        <v>0.5469964744156961</v>
      </c>
      <c r="G3" s="6">
        <v>9.4194257711923746E-2</v>
      </c>
      <c r="H3" s="25">
        <v>32.400000000000006</v>
      </c>
      <c r="I3" s="7">
        <v>160</v>
      </c>
      <c r="J3" s="7">
        <v>146</v>
      </c>
      <c r="K3" s="6">
        <v>0.1152</v>
      </c>
      <c r="L3" s="6">
        <v>13.243328</v>
      </c>
      <c r="M3" s="6">
        <v>4.0465999999999998</v>
      </c>
      <c r="N3" s="28">
        <v>0.73999302170142556</v>
      </c>
      <c r="O3" s="28">
        <v>8.7633346288884632E-3</v>
      </c>
      <c r="P3" s="28" t="s">
        <v>43</v>
      </c>
    </row>
    <row r="4" spans="1:16" x14ac:dyDescent="0.35">
      <c r="A4" t="s">
        <v>3</v>
      </c>
      <c r="B4" s="25">
        <v>309882.5452213278</v>
      </c>
      <c r="C4" s="25">
        <v>7460.1413263080776</v>
      </c>
      <c r="D4" s="25">
        <v>121222.35588354389</v>
      </c>
      <c r="E4" s="25">
        <v>4609.5257902838084</v>
      </c>
      <c r="F4" s="6">
        <v>1.2405061523810179</v>
      </c>
      <c r="G4" s="6">
        <v>2.2477066605615246E-2</v>
      </c>
      <c r="H4" s="25">
        <v>27</v>
      </c>
      <c r="I4" s="7">
        <v>160</v>
      </c>
      <c r="J4" s="7">
        <v>146</v>
      </c>
      <c r="K4" s="6">
        <v>0.1152</v>
      </c>
      <c r="L4" s="6">
        <v>13.331919999999998</v>
      </c>
      <c r="M4" s="6">
        <v>4.0648999999999997</v>
      </c>
      <c r="N4" s="28">
        <v>0.73936614413035662</v>
      </c>
      <c r="O4" s="28">
        <v>2.0275496579042054E-2</v>
      </c>
      <c r="P4" s="28" t="s">
        <v>43</v>
      </c>
    </row>
    <row r="5" spans="1:16" x14ac:dyDescent="0.35">
      <c r="A5" t="s">
        <v>10</v>
      </c>
      <c r="B5" s="25">
        <v>2291850.0390241975</v>
      </c>
      <c r="C5" s="25">
        <v>37249.13187311474</v>
      </c>
      <c r="D5" s="25">
        <v>675913.63418889034</v>
      </c>
      <c r="E5" s="25">
        <v>31374.03245167495</v>
      </c>
      <c r="F5" s="6">
        <v>0.93236676364390003</v>
      </c>
      <c r="G5" s="6">
        <v>0.12006237335450079</v>
      </c>
      <c r="H5" s="25">
        <v>67.5</v>
      </c>
      <c r="I5" s="7">
        <v>160</v>
      </c>
      <c r="J5" s="7" t="s">
        <v>43</v>
      </c>
      <c r="K5" s="7" t="s">
        <v>43</v>
      </c>
      <c r="L5" s="6">
        <v>80.047967999999997</v>
      </c>
      <c r="M5" s="6">
        <v>28.072700000000001</v>
      </c>
      <c r="N5" s="28">
        <v>0.73981892865293186</v>
      </c>
      <c r="O5" s="28">
        <v>3.3272337939778102E-2</v>
      </c>
      <c r="P5" s="28">
        <v>0.9035878238204017</v>
      </c>
    </row>
    <row r="6" spans="1:16" x14ac:dyDescent="0.35">
      <c r="P6" s="2"/>
    </row>
    <row r="7" spans="1:16" x14ac:dyDescent="0.35">
      <c r="A7" s="1"/>
      <c r="B7" s="1" t="s">
        <v>19</v>
      </c>
      <c r="C7" s="1" t="s">
        <v>9</v>
      </c>
      <c r="D7" s="1" t="s">
        <v>65</v>
      </c>
      <c r="E7" s="1" t="s">
        <v>9</v>
      </c>
      <c r="F7" s="1" t="s">
        <v>20</v>
      </c>
      <c r="G7" s="1" t="s">
        <v>9</v>
      </c>
      <c r="H7" s="1" t="s">
        <v>21</v>
      </c>
      <c r="I7" s="1" t="s">
        <v>22</v>
      </c>
      <c r="J7" s="1" t="s">
        <v>23</v>
      </c>
      <c r="K7" s="1" t="s">
        <v>24</v>
      </c>
      <c r="L7" s="1" t="s">
        <v>33</v>
      </c>
      <c r="M7" s="21" t="s">
        <v>66</v>
      </c>
      <c r="N7" s="1" t="s">
        <v>9</v>
      </c>
      <c r="O7" s="2"/>
    </row>
    <row r="8" spans="1:16" x14ac:dyDescent="0.35">
      <c r="A8" t="s">
        <v>1</v>
      </c>
      <c r="B8" s="25">
        <v>596392.00120292732</v>
      </c>
      <c r="C8" s="25">
        <v>16610.264806348601</v>
      </c>
      <c r="D8" s="26">
        <v>27.782243002116509</v>
      </c>
      <c r="E8" s="26">
        <v>0.44556653913504224</v>
      </c>
      <c r="F8" s="27">
        <v>3.3905978625477326E-2</v>
      </c>
      <c r="G8" s="25">
        <v>2.2458380185734323E-4</v>
      </c>
      <c r="H8" s="6">
        <v>3.2395</v>
      </c>
      <c r="I8" s="7">
        <v>176</v>
      </c>
      <c r="J8" s="26" t="s">
        <v>43</v>
      </c>
      <c r="K8" s="26" t="s">
        <v>43</v>
      </c>
      <c r="L8" s="7" t="s">
        <v>43</v>
      </c>
      <c r="M8" s="6">
        <v>10.290052521257863</v>
      </c>
      <c r="N8" s="6">
        <v>0.42524545935559888</v>
      </c>
      <c r="O8" s="2"/>
    </row>
    <row r="9" spans="1:16" x14ac:dyDescent="0.35">
      <c r="A9" t="s">
        <v>2</v>
      </c>
      <c r="B9" s="25">
        <v>534508.87411276461</v>
      </c>
      <c r="C9" s="25">
        <v>16184.818211711967</v>
      </c>
      <c r="D9" s="26">
        <v>25.499139522241414</v>
      </c>
      <c r="E9" s="26">
        <v>0.12937179100779433</v>
      </c>
      <c r="F9" s="27">
        <v>2.3136092401264293E-2</v>
      </c>
      <c r="G9" s="25">
        <v>1.4944253949668711E-4</v>
      </c>
      <c r="H9" s="6">
        <v>3.2442000000000002</v>
      </c>
      <c r="I9" s="7">
        <v>176</v>
      </c>
      <c r="J9" s="26" t="s">
        <v>43</v>
      </c>
      <c r="K9" s="26" t="s">
        <v>43</v>
      </c>
      <c r="L9" s="7" t="s">
        <v>43</v>
      </c>
      <c r="M9" s="6">
        <v>13.264752343429503</v>
      </c>
      <c r="N9" s="6">
        <v>0.12638079513200834</v>
      </c>
      <c r="O9" s="2"/>
    </row>
    <row r="10" spans="1:16" x14ac:dyDescent="0.35">
      <c r="A10" t="s">
        <v>3</v>
      </c>
      <c r="B10" s="25">
        <v>979522.25451853976</v>
      </c>
      <c r="C10" s="25">
        <v>29846.718416847179</v>
      </c>
      <c r="D10" s="26">
        <v>43.096805999506159</v>
      </c>
      <c r="E10" s="26">
        <v>0.26773877773892069</v>
      </c>
      <c r="F10" s="27">
        <v>3.9231314984286614E-2</v>
      </c>
      <c r="G10" s="25">
        <v>3.064139281377386E-4</v>
      </c>
      <c r="H10" s="6">
        <v>3.2654999999999998</v>
      </c>
      <c r="I10" s="7">
        <v>176</v>
      </c>
      <c r="J10" s="26" t="s">
        <v>43</v>
      </c>
      <c r="K10" s="26" t="s">
        <v>43</v>
      </c>
      <c r="L10" s="7" t="s">
        <v>43</v>
      </c>
      <c r="M10" s="6">
        <v>22.424596015102168</v>
      </c>
      <c r="N10" s="6">
        <v>0.26183802985883398</v>
      </c>
      <c r="O10" s="2"/>
    </row>
    <row r="11" spans="1:16" x14ac:dyDescent="0.35">
      <c r="A11" t="s">
        <v>10</v>
      </c>
      <c r="B11" s="25">
        <v>9306394.0851073172</v>
      </c>
      <c r="C11" s="25">
        <v>130261.08294792518</v>
      </c>
      <c r="D11" s="26" t="s">
        <v>43</v>
      </c>
      <c r="E11" s="26" t="s">
        <v>43</v>
      </c>
      <c r="F11" s="27">
        <v>9.6378898957689613E-2</v>
      </c>
      <c r="G11" s="25">
        <v>1.5608629817696386E-3</v>
      </c>
      <c r="H11" s="6">
        <v>19.038699999999999</v>
      </c>
      <c r="I11" s="7" t="s">
        <v>43</v>
      </c>
      <c r="J11" s="26">
        <v>285.61548488355095</v>
      </c>
      <c r="K11" s="26">
        <v>4.625562671873122</v>
      </c>
      <c r="L11" s="28">
        <v>4.0267240492024987</v>
      </c>
      <c r="M11" s="6" t="s">
        <v>43</v>
      </c>
      <c r="N11" s="7" t="s">
        <v>43</v>
      </c>
      <c r="O11" s="2"/>
    </row>
    <row r="12" spans="1:16" x14ac:dyDescent="0.35">
      <c r="A12" s="18"/>
      <c r="B12" s="19"/>
      <c r="C12" s="19"/>
      <c r="D12" s="19"/>
      <c r="E12" s="19"/>
      <c r="F12" s="19"/>
      <c r="G12" s="19"/>
    </row>
    <row r="13" spans="1:16" x14ac:dyDescent="0.35">
      <c r="A13" s="20"/>
      <c r="B13" s="20" t="s">
        <v>26</v>
      </c>
      <c r="C13" s="20" t="s">
        <v>27</v>
      </c>
      <c r="D13" s="20" t="s">
        <v>28</v>
      </c>
      <c r="E13" s="20" t="s">
        <v>29</v>
      </c>
      <c r="F13" s="20" t="s">
        <v>30</v>
      </c>
      <c r="G13" s="20" t="s">
        <v>99</v>
      </c>
    </row>
    <row r="14" spans="1:16" x14ac:dyDescent="0.35">
      <c r="A14" t="s">
        <v>1</v>
      </c>
      <c r="B14" s="28">
        <v>37.416108999999999</v>
      </c>
      <c r="C14" s="28">
        <v>-118.63039000000001</v>
      </c>
      <c r="D14" s="7">
        <v>1702</v>
      </c>
      <c r="E14" s="7">
        <v>2</v>
      </c>
      <c r="F14" s="7">
        <v>6.6000000000000003E-2</v>
      </c>
      <c r="G14" s="25">
        <v>23227.761843120959</v>
      </c>
    </row>
    <row r="15" spans="1:16" x14ac:dyDescent="0.35">
      <c r="A15" t="s">
        <v>2</v>
      </c>
      <c r="B15" s="28">
        <v>37.416013999999997</v>
      </c>
      <c r="C15" s="28">
        <v>-118.63032699999999</v>
      </c>
      <c r="D15" s="7">
        <v>1701</v>
      </c>
      <c r="E15" s="7">
        <v>2</v>
      </c>
      <c r="F15" s="7">
        <v>6.6000000000000003E-2</v>
      </c>
      <c r="G15" s="25">
        <v>23787.915132707156</v>
      </c>
    </row>
    <row r="16" spans="1:16" x14ac:dyDescent="0.35">
      <c r="A16" t="s">
        <v>3</v>
      </c>
      <c r="B16" s="28">
        <v>37.415885000000003</v>
      </c>
      <c r="C16" s="28">
        <v>-118.63045</v>
      </c>
      <c r="D16" s="7">
        <v>1701</v>
      </c>
      <c r="E16" s="7">
        <v>2</v>
      </c>
      <c r="F16" s="7">
        <v>6.6000000000000003E-2</v>
      </c>
      <c r="G16" s="25">
        <v>25191.943372120168</v>
      </c>
    </row>
    <row r="17" spans="1:7" x14ac:dyDescent="0.35">
      <c r="A17" t="s">
        <v>10</v>
      </c>
      <c r="B17" s="28">
        <v>39.587800000000001</v>
      </c>
      <c r="C17" s="28">
        <v>-105.64400000000001</v>
      </c>
      <c r="D17" s="7">
        <v>4267</v>
      </c>
      <c r="E17" s="7">
        <v>2</v>
      </c>
      <c r="F17" s="7">
        <v>6.6000000000000003E-2</v>
      </c>
      <c r="G17" s="25">
        <v>35404.389224383718</v>
      </c>
    </row>
    <row r="18" spans="1:7" x14ac:dyDescent="0.35">
      <c r="A18" t="s">
        <v>4</v>
      </c>
      <c r="B18" s="28">
        <v>37.165999999999997</v>
      </c>
      <c r="C18" s="28">
        <v>-118.61799999999999</v>
      </c>
      <c r="D18" s="7">
        <v>3365</v>
      </c>
      <c r="E18" s="7">
        <v>2</v>
      </c>
      <c r="F18" s="7">
        <v>6.6000000000000003E-2</v>
      </c>
      <c r="G18" s="25">
        <v>15500</v>
      </c>
    </row>
    <row r="19" spans="1:7" x14ac:dyDescent="0.35">
      <c r="A19" t="s">
        <v>5</v>
      </c>
      <c r="B19" s="28">
        <v>37.167000000000002</v>
      </c>
      <c r="C19" s="28">
        <v>-118.619</v>
      </c>
      <c r="D19" s="7">
        <v>3363</v>
      </c>
      <c r="E19" s="7">
        <v>2</v>
      </c>
      <c r="F19" s="7">
        <v>6.6000000000000003E-2</v>
      </c>
      <c r="G19" s="25">
        <v>15500</v>
      </c>
    </row>
    <row r="20" spans="1:7" x14ac:dyDescent="0.35">
      <c r="A20" t="s">
        <v>6</v>
      </c>
      <c r="B20" s="28">
        <v>37.167000000000002</v>
      </c>
      <c r="C20" s="28">
        <v>-118.622</v>
      </c>
      <c r="D20" s="7">
        <v>3360</v>
      </c>
      <c r="E20" s="7">
        <v>2</v>
      </c>
      <c r="F20" s="7">
        <v>6.6000000000000003E-2</v>
      </c>
      <c r="G20" s="25">
        <v>15500</v>
      </c>
    </row>
    <row r="21" spans="1:7" x14ac:dyDescent="0.35">
      <c r="A21" t="s">
        <v>7</v>
      </c>
      <c r="B21" s="28">
        <v>37.392000000000003</v>
      </c>
      <c r="C21" s="28">
        <v>-118.76600000000001</v>
      </c>
      <c r="D21" s="7">
        <v>3328</v>
      </c>
      <c r="E21" s="7">
        <v>2</v>
      </c>
      <c r="F21" s="7">
        <v>6.6000000000000003E-2</v>
      </c>
      <c r="G21" s="25">
        <v>15500</v>
      </c>
    </row>
    <row r="22" spans="1:7" x14ac:dyDescent="0.35">
      <c r="A22" t="s">
        <v>8</v>
      </c>
      <c r="B22" s="28">
        <v>37.402999999999999</v>
      </c>
      <c r="C22" s="28">
        <v>-118.756</v>
      </c>
      <c r="D22" s="7">
        <v>3318</v>
      </c>
      <c r="E22" s="7">
        <v>2</v>
      </c>
      <c r="F22" s="7">
        <v>6.6000000000000003E-2</v>
      </c>
      <c r="G22" s="25">
        <v>15500</v>
      </c>
    </row>
    <row r="23" spans="1:7" x14ac:dyDescent="0.35">
      <c r="G23" s="4"/>
    </row>
    <row r="24" spans="1:7" x14ac:dyDescent="0.35">
      <c r="A24" t="s">
        <v>88</v>
      </c>
    </row>
    <row r="25" spans="1:7" x14ac:dyDescent="0.35">
      <c r="A25" t="s">
        <v>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1FF0-3D53-4A2B-9263-1F636A5E618E}">
  <dimension ref="A1:AK48"/>
  <sheetViews>
    <sheetView tabSelected="1" zoomScaleNormal="100" workbookViewId="0">
      <selection activeCell="J10" sqref="J10"/>
    </sheetView>
  </sheetViews>
  <sheetFormatPr defaultRowHeight="14.5" x14ac:dyDescent="0.35"/>
  <cols>
    <col min="1" max="1" width="16" customWidth="1"/>
    <col min="2" max="18" width="10.6328125" customWidth="1"/>
    <col min="19" max="19" width="12.6328125" style="29" customWidth="1"/>
    <col min="20" max="20" width="16.90625" style="29" customWidth="1"/>
    <col min="21" max="21" width="13.36328125" style="29" customWidth="1"/>
    <col min="22" max="28" width="12.6328125" style="29" customWidth="1"/>
    <col min="29" max="30" width="12.6328125" customWidth="1"/>
    <col min="31" max="31" width="10.6328125" customWidth="1"/>
  </cols>
  <sheetData>
    <row r="1" spans="1:37" x14ac:dyDescent="0.35">
      <c r="A1" s="1" t="s">
        <v>122</v>
      </c>
      <c r="B1" s="1"/>
      <c r="C1" s="8"/>
      <c r="D1" s="8"/>
      <c r="E1" s="8"/>
      <c r="G1" s="8"/>
      <c r="H1" s="1"/>
      <c r="I1" s="1"/>
      <c r="J1" s="1"/>
      <c r="K1" s="1"/>
      <c r="L1" s="1"/>
      <c r="N1" s="1" t="s">
        <v>91</v>
      </c>
      <c r="O1" s="1"/>
      <c r="P1" s="1"/>
      <c r="Q1" s="1"/>
      <c r="R1" s="1"/>
      <c r="T1" s="8" t="s">
        <v>102</v>
      </c>
      <c r="U1" s="8" t="s">
        <v>120</v>
      </c>
      <c r="V1" s="1"/>
      <c r="W1" s="1"/>
      <c r="X1" s="8" t="s">
        <v>121</v>
      </c>
      <c r="Y1" s="1"/>
      <c r="AA1" s="1"/>
      <c r="AB1" s="32" t="s">
        <v>100</v>
      </c>
      <c r="AC1" s="1"/>
      <c r="AD1" s="29"/>
      <c r="AE1" s="1" t="s">
        <v>92</v>
      </c>
      <c r="AF1" s="1"/>
      <c r="AG1" s="1"/>
      <c r="AI1" s="1" t="s">
        <v>91</v>
      </c>
      <c r="AJ1" s="1"/>
      <c r="AK1" s="1"/>
    </row>
    <row r="2" spans="1:37" x14ac:dyDescent="0.35">
      <c r="A2" s="8" t="s">
        <v>0</v>
      </c>
      <c r="B2" s="1"/>
      <c r="C2" s="8" t="s">
        <v>93</v>
      </c>
      <c r="D2" s="8" t="s">
        <v>94</v>
      </c>
      <c r="E2" s="8"/>
      <c r="G2" s="8" t="s">
        <v>44</v>
      </c>
      <c r="H2" s="1"/>
      <c r="I2" s="1"/>
      <c r="J2" s="1"/>
      <c r="K2" s="1"/>
      <c r="L2" s="1"/>
      <c r="N2" s="8" t="s">
        <v>90</v>
      </c>
      <c r="O2" s="8"/>
      <c r="P2" s="8"/>
      <c r="Q2" s="8" t="s">
        <v>93</v>
      </c>
      <c r="R2" s="1"/>
      <c r="T2" s="1" t="s">
        <v>0</v>
      </c>
      <c r="U2" s="1" t="s">
        <v>104</v>
      </c>
      <c r="V2" s="1" t="s">
        <v>119</v>
      </c>
      <c r="W2" s="1"/>
      <c r="X2" s="1" t="s">
        <v>105</v>
      </c>
      <c r="Y2" s="1" t="s">
        <v>119</v>
      </c>
      <c r="AA2" s="1"/>
      <c r="AB2" s="20"/>
      <c r="AC2" s="1" t="s">
        <v>112</v>
      </c>
      <c r="AD2" s="29"/>
      <c r="AE2" s="8" t="s">
        <v>0</v>
      </c>
      <c r="AF2" s="8" t="s">
        <v>93</v>
      </c>
      <c r="AG2" s="8" t="s">
        <v>94</v>
      </c>
      <c r="AI2" s="8"/>
      <c r="AJ2" s="8"/>
      <c r="AK2" s="8"/>
    </row>
    <row r="3" spans="1:37" ht="16.5" x14ac:dyDescent="0.35">
      <c r="A3" s="9" t="s">
        <v>45</v>
      </c>
      <c r="C3" t="s">
        <v>117</v>
      </c>
      <c r="T3" s="29" t="s">
        <v>106</v>
      </c>
      <c r="U3" s="33">
        <v>1.1399999999999999</v>
      </c>
      <c r="V3" s="35">
        <f>(U3-G23)^2/H23^2</f>
        <v>0.12461393664081839</v>
      </c>
      <c r="W3" s="33"/>
      <c r="X3" s="33">
        <f>(G23/H23^2+G12/H12^2)/(1/H23^2+1/H12^2)</f>
        <v>1.2157781340943834</v>
      </c>
      <c r="Y3" s="33">
        <f>(X3-G23)^2/H23^2</f>
        <v>0.94660449197693963</v>
      </c>
      <c r="AA3"/>
      <c r="AB3" t="s">
        <v>111</v>
      </c>
      <c r="AD3" s="29"/>
      <c r="AF3" t="s">
        <v>118</v>
      </c>
    </row>
    <row r="4" spans="1:37" x14ac:dyDescent="0.35">
      <c r="A4" t="s">
        <v>46</v>
      </c>
      <c r="C4" s="2">
        <v>0.61012299999999997</v>
      </c>
      <c r="D4" s="2">
        <v>0.108419</v>
      </c>
      <c r="E4" s="2"/>
      <c r="G4" s="10">
        <f>C4*C30*D40/(D30*C40*$F$28)</f>
        <v>0.52247252857771487</v>
      </c>
      <c r="H4" s="10">
        <f>D4/C4*G4</f>
        <v>9.2843490699198797E-2</v>
      </c>
      <c r="J4" s="5" t="s">
        <v>98</v>
      </c>
      <c r="K4" s="5"/>
      <c r="L4" s="5"/>
      <c r="N4" s="23">
        <f>G4/H4^2</f>
        <v>60.612268615294219</v>
      </c>
      <c r="O4" s="23">
        <f t="shared" ref="O4" si="0">1/H4^2</f>
        <v>116.0104413150566</v>
      </c>
      <c r="P4" s="23" t="s">
        <v>97</v>
      </c>
      <c r="Q4" s="24"/>
      <c r="R4" s="24"/>
      <c r="T4" s="29" t="s">
        <v>107</v>
      </c>
      <c r="U4" s="33">
        <v>1.0960000000000001</v>
      </c>
      <c r="V4" s="35">
        <f>(U4-G24)^2/H24^2</f>
        <v>0.2814620777531201</v>
      </c>
      <c r="W4" s="33"/>
      <c r="X4" s="33">
        <f>(G24/H24^2+G25/H25^2+G13/H13^2)/(1/H24^2+1/H25^2+1/H13^2)</f>
        <v>1.1886439008967107</v>
      </c>
      <c r="Y4" s="33">
        <f>(X4-G24)^2/H24^2</f>
        <v>1.4659292071599441</v>
      </c>
      <c r="AA4" t="s">
        <v>63</v>
      </c>
      <c r="AB4" s="2">
        <f>(G12-G23)/SQRT(H12^2+H23^2)</f>
        <v>1.884763080091292</v>
      </c>
      <c r="AC4" s="2">
        <f>_xlfn.NORM.DIST(AB4,0,1,TRUE)</f>
        <v>0.9702690842004017</v>
      </c>
      <c r="AD4" s="29"/>
      <c r="AE4" t="s">
        <v>1</v>
      </c>
      <c r="AF4" s="4">
        <v>160.27699999999999</v>
      </c>
      <c r="AG4" s="4">
        <v>12.706</v>
      </c>
      <c r="AI4" s="2">
        <f>AF4/AG4^2</f>
        <v>0.99278110496300986</v>
      </c>
      <c r="AJ4" s="2">
        <f>1/AG4^2</f>
        <v>6.1941582695147143E-3</v>
      </c>
    </row>
    <row r="5" spans="1:37" x14ac:dyDescent="0.35">
      <c r="A5" t="s">
        <v>47</v>
      </c>
      <c r="C5" s="2">
        <v>1.333941</v>
      </c>
      <c r="D5" s="2">
        <v>9.3526999999999999E-2</v>
      </c>
      <c r="E5" s="2"/>
      <c r="G5" s="10">
        <f>C5*C31*D41/(D31*C41*$F$28)</f>
        <v>1.1423814441979894</v>
      </c>
      <c r="H5" s="10">
        <f>D5/C5*G5</f>
        <v>8.009612818820723E-2</v>
      </c>
      <c r="J5" s="11" t="s">
        <v>96</v>
      </c>
      <c r="K5" s="11"/>
      <c r="L5" s="11"/>
      <c r="N5" s="4">
        <f>G5/H5^2</f>
        <v>178.06890751507518</v>
      </c>
      <c r="O5" s="4">
        <f t="shared" ref="O5:O9" si="1">1/H5^2</f>
        <v>155.87517498595992</v>
      </c>
      <c r="Q5" s="4">
        <f>C5/D5^2</f>
        <v>152.49746108248397</v>
      </c>
      <c r="R5" s="4">
        <f>1/D5^2</f>
        <v>114.32099401883889</v>
      </c>
      <c r="S5" s="30"/>
      <c r="T5" s="30" t="s">
        <v>108</v>
      </c>
      <c r="U5" s="33">
        <v>1.3859999999999999</v>
      </c>
      <c r="V5" s="35">
        <f>(U5-G12)^2/H12^2</f>
        <v>3.2756250279408622E-2</v>
      </c>
      <c r="W5" s="33"/>
      <c r="X5" s="33">
        <f>$X$3</f>
        <v>1.2157781340943834</v>
      </c>
      <c r="Y5" s="33">
        <f>(X5-G12)^2/H12^2</f>
        <v>2.6057273760982747</v>
      </c>
      <c r="Z5" s="30"/>
      <c r="AA5" t="s">
        <v>61</v>
      </c>
      <c r="AB5" s="2">
        <f>(G13-G24)/SQRT(H13^2+H24^2)</f>
        <v>1.5093921052944597</v>
      </c>
      <c r="AC5" s="2">
        <f>_xlfn.NORM.DIST(AB5,0,1,TRUE)</f>
        <v>0.93440069530919989</v>
      </c>
      <c r="AD5" s="30"/>
      <c r="AE5" t="s">
        <v>2</v>
      </c>
      <c r="AF5" s="4">
        <v>145.81399999999999</v>
      </c>
      <c r="AG5" s="4">
        <v>14.262</v>
      </c>
      <c r="AI5" s="2">
        <f>AF5/AG5^2</f>
        <v>0.7168666217866686</v>
      </c>
      <c r="AJ5" s="2">
        <f>1/AG5^2</f>
        <v>4.9163085971626087E-3</v>
      </c>
    </row>
    <row r="6" spans="1:37" x14ac:dyDescent="0.35">
      <c r="A6" t="s">
        <v>48</v>
      </c>
      <c r="C6" s="2">
        <v>1.3758520000000001</v>
      </c>
      <c r="D6" s="2">
        <v>9.5218999999999998E-2</v>
      </c>
      <c r="E6" s="2"/>
      <c r="G6" s="10">
        <f>C6*C32*D42/(D32*C42*$F$28)</f>
        <v>1.1786282239829236</v>
      </c>
      <c r="H6" s="10">
        <f>D6/C6*G6</f>
        <v>8.1569675269890937E-2</v>
      </c>
      <c r="N6" s="4">
        <f>G6/H6^2</f>
        <v>177.14111335470474</v>
      </c>
      <c r="O6" s="4">
        <f t="shared" si="1"/>
        <v>150.29430803556866</v>
      </c>
      <c r="Q6" s="4">
        <f>C6/D6^2</f>
        <v>151.74852805942308</v>
      </c>
      <c r="R6" s="4">
        <f t="shared" ref="R6:R9" si="2">1/D6^2</f>
        <v>110.29422354978811</v>
      </c>
      <c r="S6" s="30"/>
      <c r="T6" s="30" t="s">
        <v>109</v>
      </c>
      <c r="U6" s="33">
        <v>1.296</v>
      </c>
      <c r="V6" s="35">
        <f>(U6-G13)^2/H13^2</f>
        <v>4.5279859704882935E-2</v>
      </c>
      <c r="W6" s="33"/>
      <c r="X6" s="33">
        <f>$X$4</f>
        <v>1.1886439008967107</v>
      </c>
      <c r="Y6" s="33">
        <f>(X6-G13)^2/H13^2</f>
        <v>1.0557844430495422</v>
      </c>
      <c r="Z6" s="30"/>
      <c r="AA6"/>
      <c r="AB6"/>
      <c r="AD6" s="30"/>
      <c r="AE6" t="s">
        <v>3</v>
      </c>
      <c r="AF6" s="4">
        <v>148.81700000000001</v>
      </c>
      <c r="AG6" s="4">
        <v>12.958</v>
      </c>
      <c r="AI6" s="2">
        <f>AF6/AG6^2</f>
        <v>0.8862915202477446</v>
      </c>
      <c r="AJ6" s="2">
        <f>1/AG6^2</f>
        <v>5.9555798077353022E-3</v>
      </c>
    </row>
    <row r="7" spans="1:37" x14ac:dyDescent="0.35">
      <c r="A7" t="s">
        <v>49</v>
      </c>
      <c r="C7" s="2">
        <v>0.67300400000000005</v>
      </c>
      <c r="D7" s="2">
        <v>0.118078</v>
      </c>
      <c r="E7" s="2"/>
      <c r="G7" s="12">
        <f>C7*C30*B40/(B30*C40*$F$28)</f>
        <v>0.5540604938319168</v>
      </c>
      <c r="H7" s="12">
        <f t="shared" ref="H7:H9" si="3">D7/C7*G7</f>
        <v>9.7209459365301051E-2</v>
      </c>
      <c r="N7" s="23">
        <f>G7/H7^2</f>
        <v>58.632731801019467</v>
      </c>
      <c r="O7" s="23">
        <f t="shared" ref="O7" si="4">1/H7^2</f>
        <v>105.82370057737171</v>
      </c>
      <c r="P7" s="23" t="s">
        <v>97</v>
      </c>
      <c r="Q7" s="24"/>
      <c r="R7" s="24"/>
      <c r="T7" s="29" t="s">
        <v>110</v>
      </c>
      <c r="U7" s="33">
        <v>1.2230000000000001</v>
      </c>
      <c r="V7" s="35">
        <f>(U7-G25)^2/H25^2</f>
        <v>0.17949576293061881</v>
      </c>
      <c r="W7" s="33"/>
      <c r="X7" s="33">
        <f>$X$4</f>
        <v>1.1886439008967107</v>
      </c>
      <c r="Y7" s="33">
        <f>(X7-G25)^2/H25^2</f>
        <v>0.18953974429110518</v>
      </c>
      <c r="AA7"/>
      <c r="AB7"/>
      <c r="AD7" s="29"/>
      <c r="AE7" t="s">
        <v>10</v>
      </c>
      <c r="AF7" s="4">
        <v>155.33000000000001</v>
      </c>
      <c r="AG7" s="4">
        <v>3.6456</v>
      </c>
      <c r="AI7" s="2">
        <f>AF7/AG7^2</f>
        <v>11.687383937272447</v>
      </c>
      <c r="AJ7" s="2">
        <f>1/AG7^2</f>
        <v>7.5242283765354065E-2</v>
      </c>
    </row>
    <row r="8" spans="1:37" x14ac:dyDescent="0.35">
      <c r="A8" t="s">
        <v>50</v>
      </c>
      <c r="C8" s="2">
        <v>1.3352200000000001</v>
      </c>
      <c r="D8" s="2">
        <v>9.3253000000000003E-2</v>
      </c>
      <c r="E8" s="2"/>
      <c r="G8" s="12">
        <f>C8*C31*B41/(B31*C41*$F$28)</f>
        <v>1.0993308786331379</v>
      </c>
      <c r="H8" s="12">
        <f t="shared" si="3"/>
        <v>7.6778285544836067E-2</v>
      </c>
      <c r="N8" s="4">
        <f>G8/H8^2</f>
        <v>186.48830713388165</v>
      </c>
      <c r="O8" s="4">
        <f t="shared" si="1"/>
        <v>169.63801413979513</v>
      </c>
      <c r="Q8" s="4">
        <f t="shared" ref="Q8:Q9" si="5">C8/D8^2</f>
        <v>153.54200396660971</v>
      </c>
      <c r="R8" s="4">
        <f t="shared" si="2"/>
        <v>114.99378676668242</v>
      </c>
      <c r="S8" s="30"/>
      <c r="U8" s="33"/>
      <c r="V8" s="35"/>
      <c r="W8" s="33"/>
      <c r="X8" s="33"/>
      <c r="Y8" s="33"/>
      <c r="Z8" s="30"/>
      <c r="AA8"/>
      <c r="AB8"/>
      <c r="AD8" s="30"/>
    </row>
    <row r="9" spans="1:37" ht="15" thickBot="1" x14ac:dyDescent="0.4">
      <c r="A9" t="s">
        <v>51</v>
      </c>
      <c r="C9" s="2">
        <v>1.392949</v>
      </c>
      <c r="D9" s="2">
        <v>8.9601E-2</v>
      </c>
      <c r="E9" s="2"/>
      <c r="G9" s="12">
        <f>C9*C32*B42/(B32*C42*$F$28)</f>
        <v>1.1472249167126418</v>
      </c>
      <c r="H9" s="12">
        <f t="shared" si="3"/>
        <v>7.3794876741624729E-2</v>
      </c>
      <c r="N9" s="4">
        <f>G9/H9^2</f>
        <v>210.66682382385034</v>
      </c>
      <c r="O9" s="4">
        <f t="shared" si="1"/>
        <v>183.63166695116192</v>
      </c>
      <c r="Q9" s="4">
        <f t="shared" si="5"/>
        <v>173.5040043931497</v>
      </c>
      <c r="R9" s="4">
        <f t="shared" si="2"/>
        <v>124.55876302229996</v>
      </c>
      <c r="S9" s="30"/>
      <c r="T9" s="30" t="s">
        <v>115</v>
      </c>
      <c r="U9" s="33"/>
      <c r="V9" s="35"/>
      <c r="W9" s="33"/>
      <c r="X9" s="33"/>
      <c r="Y9" s="35"/>
      <c r="Z9" s="30"/>
      <c r="AA9"/>
      <c r="AB9"/>
      <c r="AD9" s="30"/>
      <c r="AE9" t="s">
        <v>95</v>
      </c>
      <c r="AF9" s="3">
        <f>SUM(AI4:AI7)/SUM(AJ4:AJ7)</f>
        <v>154.73493146525996</v>
      </c>
      <c r="AG9" s="3">
        <f>1/SQRT(SUM(Results!AJ4:AJ7))</f>
        <v>3.2913915661862201</v>
      </c>
    </row>
    <row r="10" spans="1:37" x14ac:dyDescent="0.35">
      <c r="C10" s="2"/>
      <c r="D10" s="2"/>
      <c r="E10" s="2"/>
      <c r="G10" s="2"/>
      <c r="H10" s="2"/>
      <c r="N10" s="4"/>
      <c r="O10" s="4"/>
      <c r="Q10" s="4"/>
      <c r="R10" s="4"/>
      <c r="S10" s="30"/>
      <c r="T10" s="36" t="s">
        <v>61</v>
      </c>
      <c r="U10" s="37" t="s">
        <v>103</v>
      </c>
      <c r="V10" s="38">
        <f>SUM(V4,V6,V7)</f>
        <v>0.50623770038862181</v>
      </c>
      <c r="W10" s="38"/>
      <c r="X10" s="37" t="s">
        <v>103</v>
      </c>
      <c r="Y10" s="39">
        <f>SUM(Y4,Y6,Y7)</f>
        <v>2.7112533945005914</v>
      </c>
      <c r="Z10" s="30"/>
      <c r="AA10"/>
      <c r="AB10"/>
      <c r="AD10" s="30"/>
    </row>
    <row r="11" spans="1:37" x14ac:dyDescent="0.35">
      <c r="A11" s="9" t="s">
        <v>52</v>
      </c>
      <c r="C11" s="2"/>
      <c r="D11" s="2"/>
      <c r="E11" s="2"/>
      <c r="G11" s="2"/>
      <c r="H11" s="2"/>
      <c r="N11" s="4"/>
      <c r="O11" s="4"/>
      <c r="Q11" s="4"/>
      <c r="R11" s="4"/>
      <c r="S11" s="30"/>
      <c r="T11" s="40"/>
      <c r="U11" s="41" t="s">
        <v>101</v>
      </c>
      <c r="V11" s="42">
        <f>V10/2</f>
        <v>0.25311885019431091</v>
      </c>
      <c r="W11" s="42"/>
      <c r="X11" s="41" t="s">
        <v>101</v>
      </c>
      <c r="Y11" s="43">
        <f>Y10/2</f>
        <v>1.3556266972502957</v>
      </c>
      <c r="Z11" s="30"/>
      <c r="AA11" s="30"/>
      <c r="AB11" s="30"/>
    </row>
    <row r="12" spans="1:37" x14ac:dyDescent="0.35">
      <c r="A12" t="s">
        <v>53</v>
      </c>
      <c r="C12" s="2">
        <v>1.3142</v>
      </c>
      <c r="D12" s="2">
        <v>9.1035000000000005E-2</v>
      </c>
      <c r="E12" s="2"/>
      <c r="G12" s="10">
        <f>C12*C33*D43/(D33*C43*$F$28)</f>
        <v>1.3688388515826841</v>
      </c>
      <c r="H12" s="10">
        <f t="shared" ref="H12:H13" si="6">D12/C12*G12</f>
        <v>9.4819848465857295E-2</v>
      </c>
      <c r="N12" s="4">
        <f t="shared" ref="N12:N13" si="7">G12/H12^2</f>
        <v>152.24877584664313</v>
      </c>
      <c r="O12" s="4">
        <f t="shared" ref="O12:O13" si="8">1/H12^2</f>
        <v>111.22476226519247</v>
      </c>
      <c r="Q12" s="4">
        <f>C12/D12^2</f>
        <v>158.57863299709973</v>
      </c>
      <c r="R12" s="4">
        <f t="shared" ref="R12:R13" si="9">1/D12^2</f>
        <v>120.66552503203449</v>
      </c>
      <c r="S12" s="30"/>
      <c r="T12" s="40"/>
      <c r="U12" s="41" t="s">
        <v>113</v>
      </c>
      <c r="V12" s="42">
        <f>1-_xlfn.CHISQ.DIST(V10,2,TRUE)</f>
        <v>0.7763756039488372</v>
      </c>
      <c r="W12" s="42"/>
      <c r="X12" s="41" t="s">
        <v>113</v>
      </c>
      <c r="Y12" s="43">
        <f>1-_xlfn.CHISQ.DIST(Y10,2,TRUE)</f>
        <v>0.25778569023541964</v>
      </c>
      <c r="Z12" s="30"/>
      <c r="AA12" s="30"/>
      <c r="AB12" s="30"/>
    </row>
    <row r="13" spans="1:37" x14ac:dyDescent="0.35">
      <c r="A13" t="s">
        <v>54</v>
      </c>
      <c r="C13" s="2">
        <v>1.3116000000000001</v>
      </c>
      <c r="D13" s="2">
        <v>8.8860999999999996E-2</v>
      </c>
      <c r="E13" s="2"/>
      <c r="G13" s="12">
        <f>C13*C33*B43/(B33*C43*$F$28)</f>
        <v>1.2775816387782728</v>
      </c>
      <c r="H13" s="12">
        <f t="shared" si="6"/>
        <v>8.6556253433574329E-2</v>
      </c>
      <c r="N13" s="4">
        <f t="shared" si="7"/>
        <v>170.5264542489214</v>
      </c>
      <c r="O13" s="4">
        <f t="shared" si="8"/>
        <v>133.4759745075803</v>
      </c>
      <c r="Q13" s="4">
        <f t="shared" ref="Q13" si="10">C13/D13^2</f>
        <v>166.10358865079687</v>
      </c>
      <c r="R13" s="4">
        <f t="shared" si="9"/>
        <v>126.64195536047335</v>
      </c>
      <c r="S13" s="30"/>
      <c r="T13" s="40"/>
      <c r="U13" s="41"/>
      <c r="V13" s="42"/>
      <c r="W13" s="41"/>
      <c r="X13" s="41"/>
      <c r="Y13" s="43"/>
      <c r="Z13" s="30"/>
      <c r="AA13" s="30"/>
      <c r="AB13" s="30"/>
    </row>
    <row r="14" spans="1:37" x14ac:dyDescent="0.35">
      <c r="C14" s="2"/>
      <c r="D14" s="2"/>
      <c r="E14" s="2"/>
      <c r="H14" s="2"/>
      <c r="N14" s="4"/>
      <c r="O14" s="4"/>
      <c r="Q14" s="4"/>
      <c r="R14" s="4"/>
      <c r="S14" s="30"/>
      <c r="T14" s="40" t="s">
        <v>63</v>
      </c>
      <c r="U14" s="41" t="s">
        <v>103</v>
      </c>
      <c r="V14" s="42">
        <f>SUM(V3,V5)</f>
        <v>0.15737018692022703</v>
      </c>
      <c r="W14" s="42"/>
      <c r="X14" s="41" t="s">
        <v>103</v>
      </c>
      <c r="Y14" s="43">
        <f>SUM(Y3,Y5)</f>
        <v>3.5523318680752141</v>
      </c>
      <c r="Z14" s="30"/>
      <c r="AA14" s="30"/>
      <c r="AB14" s="30"/>
    </row>
    <row r="15" spans="1:37" x14ac:dyDescent="0.35">
      <c r="A15" s="9" t="s">
        <v>123</v>
      </c>
      <c r="C15" s="2"/>
      <c r="D15" s="2"/>
      <c r="E15" s="2"/>
      <c r="H15" s="2"/>
      <c r="N15" s="4"/>
      <c r="O15" s="4"/>
      <c r="Q15" s="4"/>
      <c r="R15" s="4"/>
      <c r="S15" s="30"/>
      <c r="T15" s="40"/>
      <c r="U15" s="41" t="s">
        <v>101</v>
      </c>
      <c r="V15" s="42">
        <f>V14/1</f>
        <v>0.15737018692022703</v>
      </c>
      <c r="W15" s="42"/>
      <c r="X15" s="41" t="s">
        <v>101</v>
      </c>
      <c r="Y15" s="43">
        <f>Y14/1</f>
        <v>3.5523318680752141</v>
      </c>
      <c r="Z15" s="30"/>
      <c r="AA15" s="30"/>
      <c r="AB15" s="30"/>
    </row>
    <row r="16" spans="1:37" ht="15" thickBot="1" x14ac:dyDescent="0.4">
      <c r="A16" t="s">
        <v>4</v>
      </c>
      <c r="C16" s="2">
        <v>1.4341661345184327</v>
      </c>
      <c r="D16" s="2">
        <v>0.10200967838018907</v>
      </c>
      <c r="E16" s="2"/>
      <c r="G16" s="12">
        <f>C16*C34*B44/(B34*C44*$F$28)</f>
        <v>1.319327249730448</v>
      </c>
      <c r="H16" s="12">
        <f t="shared" ref="H16:H20" si="11">D16/C16*G16</f>
        <v>9.3841393395063907E-2</v>
      </c>
      <c r="N16" s="4">
        <f t="shared" ref="N16:N20" si="12">G16/H16^2</f>
        <v>149.81787648214473</v>
      </c>
      <c r="O16" s="4">
        <f t="shared" ref="O16:O20" si="13">1/H16^2</f>
        <v>113.55626628098074</v>
      </c>
      <c r="Q16" s="4">
        <f>C16/D16^2</f>
        <v>137.82141565210938</v>
      </c>
      <c r="R16" s="4">
        <f t="shared" ref="R16:R20" si="14">1/D16^2</f>
        <v>96.098640411968276</v>
      </c>
      <c r="S16" s="30"/>
      <c r="T16" s="44"/>
      <c r="U16" s="45" t="s">
        <v>113</v>
      </c>
      <c r="V16" s="46">
        <f>1-_xlfn.CHISQ.DIST(V14,1,TRUE)</f>
        <v>0.69158935373263164</v>
      </c>
      <c r="W16" s="46"/>
      <c r="X16" s="45" t="s">
        <v>113</v>
      </c>
      <c r="Y16" s="47">
        <f>1-_xlfn.CHISQ.DIST(Y14,1,TRUE)</f>
        <v>5.9461831599196713E-2</v>
      </c>
      <c r="Z16" s="30"/>
      <c r="AA16" s="30"/>
      <c r="AB16" s="30"/>
    </row>
    <row r="17" spans="1:30" x14ac:dyDescent="0.35">
      <c r="A17" t="s">
        <v>5</v>
      </c>
      <c r="C17" s="2">
        <v>1.3440611622471186</v>
      </c>
      <c r="D17" s="2">
        <v>0.10115078602419558</v>
      </c>
      <c r="E17" s="2"/>
      <c r="G17" s="12">
        <f>C17*C35*B45/(B35*C45*$F$28)</f>
        <v>1.2362852129261412</v>
      </c>
      <c r="H17" s="12">
        <f t="shared" si="11"/>
        <v>9.3039829250402314E-2</v>
      </c>
      <c r="N17" s="4">
        <f t="shared" si="12"/>
        <v>142.81731545080834</v>
      </c>
      <c r="O17" s="4">
        <f t="shared" si="13"/>
        <v>115.52133274552125</v>
      </c>
      <c r="Q17" s="4">
        <f t="shared" ref="Q17:Q20" si="15">C17/D17^2</f>
        <v>131.36525345799683</v>
      </c>
      <c r="R17" s="4">
        <f t="shared" si="14"/>
        <v>97.737556257015086</v>
      </c>
      <c r="S17" s="30"/>
      <c r="T17" s="30"/>
      <c r="U17" s="33"/>
      <c r="V17" s="35"/>
      <c r="W17" s="33"/>
      <c r="X17" s="33"/>
      <c r="Y17" s="35"/>
      <c r="Z17" s="30"/>
      <c r="AA17" s="30"/>
      <c r="AB17" s="30"/>
    </row>
    <row r="18" spans="1:30" x14ac:dyDescent="0.35">
      <c r="A18" t="s">
        <v>6</v>
      </c>
      <c r="C18" s="2">
        <v>1.2505195503591453</v>
      </c>
      <c r="D18" s="2">
        <v>9.9853536877777482E-2</v>
      </c>
      <c r="E18" s="2"/>
      <c r="G18" s="12">
        <f>C18*C36*B46/(B36*C46*$F$28)</f>
        <v>1.1500104416728019</v>
      </c>
      <c r="H18" s="12">
        <f t="shared" si="11"/>
        <v>9.1827920654598896E-2</v>
      </c>
      <c r="N18" s="4">
        <f t="shared" si="12"/>
        <v>136.38050147374963</v>
      </c>
      <c r="O18" s="4">
        <f t="shared" si="13"/>
        <v>118.59066364247175</v>
      </c>
      <c r="Q18" s="4">
        <f t="shared" si="15"/>
        <v>125.41907136944906</v>
      </c>
      <c r="R18" s="4">
        <f t="shared" si="14"/>
        <v>100.29357104687335</v>
      </c>
      <c r="S18" s="30"/>
      <c r="T18" s="30"/>
      <c r="U18" s="33"/>
      <c r="V18" s="35"/>
      <c r="W18" s="33"/>
      <c r="X18" s="33"/>
      <c r="Y18" s="35"/>
      <c r="Z18" s="30"/>
      <c r="AA18" s="30"/>
      <c r="AB18" s="30"/>
    </row>
    <row r="19" spans="1:30" x14ac:dyDescent="0.35">
      <c r="A19" t="s">
        <v>7</v>
      </c>
      <c r="C19" s="2">
        <v>1.25291436948136</v>
      </c>
      <c r="D19" s="2">
        <v>8.3979523968900419E-2</v>
      </c>
      <c r="E19" s="2"/>
      <c r="G19" s="12">
        <f>C19*C37*B47/(B37*C47*$F$28)</f>
        <v>1.1498734472560315</v>
      </c>
      <c r="H19" s="12">
        <f t="shared" si="11"/>
        <v>7.7072964503562338E-2</v>
      </c>
      <c r="N19" s="4">
        <f t="shared" si="12"/>
        <v>193.57350674701939</v>
      </c>
      <c r="O19" s="4">
        <f t="shared" si="13"/>
        <v>168.34331396115644</v>
      </c>
      <c r="Q19" s="4">
        <f t="shared" si="15"/>
        <v>177.65382928186244</v>
      </c>
      <c r="R19" s="4">
        <f t="shared" si="14"/>
        <v>141.79247489627059</v>
      </c>
      <c r="S19" s="30"/>
      <c r="T19" s="30"/>
      <c r="U19" s="33"/>
      <c r="V19" s="35"/>
      <c r="W19" s="33"/>
      <c r="X19" s="33"/>
      <c r="Y19" s="35"/>
      <c r="Z19" s="30"/>
      <c r="AA19" s="30"/>
      <c r="AB19" s="30"/>
    </row>
    <row r="20" spans="1:30" x14ac:dyDescent="0.35">
      <c r="A20" t="s">
        <v>8</v>
      </c>
      <c r="C20" s="2">
        <v>1.3124948029171835</v>
      </c>
      <c r="D20" s="2">
        <v>0.1043504840784233</v>
      </c>
      <c r="E20" s="2"/>
      <c r="G20" s="12">
        <f>C20*C38*B48/(B38*C48*$F$28)</f>
        <v>1.2037616010613192</v>
      </c>
      <c r="H20" s="12">
        <f t="shared" si="11"/>
        <v>9.5705602419587296E-2</v>
      </c>
      <c r="N20" s="4">
        <f t="shared" si="12"/>
        <v>131.42130126979922</v>
      </c>
      <c r="O20" s="4">
        <f t="shared" si="13"/>
        <v>109.17552209169085</v>
      </c>
      <c r="Q20" s="4">
        <f t="shared" si="15"/>
        <v>120.53374663158777</v>
      </c>
      <c r="R20" s="4">
        <f t="shared" si="14"/>
        <v>91.835599168611168</v>
      </c>
      <c r="S20" s="30"/>
      <c r="T20" s="30"/>
      <c r="U20" s="33"/>
      <c r="V20" s="35"/>
      <c r="W20" s="33"/>
      <c r="X20" s="33"/>
      <c r="Y20" s="35"/>
      <c r="Z20" s="30"/>
      <c r="AA20" s="30"/>
      <c r="AB20" s="30"/>
    </row>
    <row r="21" spans="1:30" x14ac:dyDescent="0.35">
      <c r="C21" s="2"/>
      <c r="D21" s="2"/>
      <c r="E21" s="2"/>
      <c r="T21" s="30"/>
      <c r="U21" s="33"/>
      <c r="V21" s="35"/>
      <c r="W21" s="33"/>
      <c r="X21" s="33"/>
      <c r="Y21" s="35"/>
    </row>
    <row r="22" spans="1:30" x14ac:dyDescent="0.35">
      <c r="A22" s="9" t="s">
        <v>124</v>
      </c>
      <c r="C22" s="2"/>
      <c r="D22" s="2"/>
      <c r="E22" s="2"/>
      <c r="N22" s="2"/>
      <c r="O22" s="2"/>
      <c r="P22" s="2"/>
      <c r="Q22" s="2"/>
      <c r="R22" s="2"/>
      <c r="S22" s="31"/>
      <c r="U22" s="33"/>
      <c r="V22" s="35"/>
      <c r="W22" s="33"/>
      <c r="X22" s="33"/>
      <c r="Y22" s="33"/>
      <c r="Z22" s="31"/>
      <c r="AA22" s="31"/>
      <c r="AB22" s="31"/>
    </row>
    <row r="23" spans="1:30" x14ac:dyDescent="0.35">
      <c r="A23" t="s">
        <v>55</v>
      </c>
      <c r="D23" s="2"/>
      <c r="E23" s="2">
        <f>SUM(N4:N6)/SUM(O4:O6)</f>
        <v>0.98494093516762704</v>
      </c>
      <c r="F23" s="2">
        <f>1/SQRT(SUM(O5:O6))</f>
        <v>5.7150370412468419E-2</v>
      </c>
      <c r="G23" s="48">
        <f>SUM(N5:N6)/SUM(O5:O6)</f>
        <v>1.160174480370413</v>
      </c>
      <c r="H23" s="48">
        <f>1/SQRT(SUM(O5:O6))</f>
        <v>5.7150370412468419E-2</v>
      </c>
      <c r="J23" s="23" t="s">
        <v>114</v>
      </c>
      <c r="K23" s="24"/>
      <c r="L23" s="24"/>
      <c r="Q23" s="2"/>
      <c r="R23" s="2"/>
      <c r="T23" s="31"/>
      <c r="U23" s="33"/>
      <c r="V23" s="33"/>
      <c r="W23" s="33"/>
      <c r="X23" s="33"/>
      <c r="Y23" s="33"/>
    </row>
    <row r="24" spans="1:30" x14ac:dyDescent="0.35">
      <c r="A24" t="s">
        <v>56</v>
      </c>
      <c r="D24" s="2"/>
      <c r="E24" s="2">
        <f>SUM(N7:N9)/SUM(O7:O9)</f>
        <v>0.99279989857931472</v>
      </c>
      <c r="F24" s="2">
        <f>1/SQRT(SUM(O8:O9))</f>
        <v>5.3204310196944354E-2</v>
      </c>
      <c r="G24" s="48">
        <f>SUM(N8:N9)/SUM(O8:O9)</f>
        <v>1.1242264825309922</v>
      </c>
      <c r="H24" s="48">
        <f>1/SQRT(SUM(O8:O9))</f>
        <v>5.3204310196944354E-2</v>
      </c>
      <c r="J24" s="23" t="s">
        <v>114</v>
      </c>
      <c r="K24" s="24"/>
      <c r="L24" s="24"/>
      <c r="M24" s="49"/>
      <c r="N24" s="49"/>
      <c r="O24" s="49"/>
      <c r="Q24" s="2"/>
      <c r="R24" s="2"/>
      <c r="U24" s="33"/>
      <c r="V24" s="33"/>
      <c r="W24" s="33"/>
      <c r="X24" s="33"/>
      <c r="Y24" s="33"/>
    </row>
    <row r="25" spans="1:30" x14ac:dyDescent="0.35">
      <c r="A25" t="s">
        <v>57</v>
      </c>
      <c r="C25" s="2"/>
      <c r="D25" s="2"/>
      <c r="E25" s="2"/>
      <c r="G25" s="2">
        <f>SUM(N16:N20)/SUM(O16:O20)</f>
        <v>1.2060557598918409</v>
      </c>
      <c r="H25" s="2">
        <f>1/SQRT(SUM(O16:O20))</f>
        <v>3.9994014184794258E-2</v>
      </c>
      <c r="Q25" s="2"/>
      <c r="R25" s="2"/>
      <c r="U25" s="33"/>
      <c r="V25" s="33"/>
      <c r="W25" s="33"/>
      <c r="X25" s="33"/>
      <c r="Y25" s="33"/>
    </row>
    <row r="26" spans="1:30" x14ac:dyDescent="0.35">
      <c r="U26" s="33"/>
      <c r="V26" s="33"/>
      <c r="W26" s="33"/>
      <c r="X26" s="33"/>
      <c r="Y26" s="33"/>
    </row>
    <row r="27" spans="1:30" ht="16.5" x14ac:dyDescent="0.35">
      <c r="A27" s="13" t="s">
        <v>58</v>
      </c>
      <c r="F27" s="13" t="s">
        <v>59</v>
      </c>
      <c r="U27" s="33"/>
      <c r="V27" s="33"/>
      <c r="W27" s="33"/>
      <c r="X27" s="33"/>
      <c r="Y27" s="33"/>
    </row>
    <row r="28" spans="1:30" ht="16.5" x14ac:dyDescent="0.35">
      <c r="A28" s="14" t="s">
        <v>116</v>
      </c>
      <c r="B28" s="1"/>
      <c r="C28" s="1"/>
      <c r="D28" s="1"/>
      <c r="F28" s="2">
        <f>SUM(Q5:Q20)/SUM(R5:R20)</f>
        <v>1.3304741048891398</v>
      </c>
      <c r="G28" s="2">
        <f>1/SQRT(SUM(R5:R20))</f>
        <v>2.8406877559650177E-2</v>
      </c>
      <c r="H28" t="s">
        <v>60</v>
      </c>
      <c r="U28" s="33"/>
      <c r="V28" s="33"/>
      <c r="W28" s="33"/>
      <c r="X28" s="33"/>
      <c r="Y28" s="33"/>
    </row>
    <row r="29" spans="1:30" x14ac:dyDescent="0.35">
      <c r="A29" s="8" t="s">
        <v>0</v>
      </c>
      <c r="B29" s="8" t="s">
        <v>61</v>
      </c>
      <c r="C29" s="8" t="s">
        <v>62</v>
      </c>
      <c r="D29" s="8" t="s">
        <v>63</v>
      </c>
      <c r="U29" s="33"/>
      <c r="V29" s="33"/>
      <c r="W29" s="33"/>
      <c r="X29" s="33"/>
      <c r="Y29" s="33"/>
    </row>
    <row r="30" spans="1:30" x14ac:dyDescent="0.35">
      <c r="A30" t="s">
        <v>1</v>
      </c>
      <c r="B30" s="2">
        <v>3.3732000000000002</v>
      </c>
      <c r="C30" s="2">
        <v>4.0426000000000002</v>
      </c>
      <c r="D30" s="2">
        <v>3.2395</v>
      </c>
      <c r="U30" s="33"/>
      <c r="V30" s="33"/>
      <c r="W30" s="33"/>
      <c r="X30" s="33"/>
      <c r="Y30" s="33"/>
    </row>
    <row r="31" spans="1:30" x14ac:dyDescent="0.35">
      <c r="A31" t="s">
        <v>2</v>
      </c>
      <c r="B31" s="2">
        <v>3.3784000000000001</v>
      </c>
      <c r="C31" s="2">
        <v>4.0465999999999998</v>
      </c>
      <c r="D31" s="2">
        <v>3.2442000000000002</v>
      </c>
      <c r="U31" s="33"/>
      <c r="V31" s="33"/>
      <c r="W31" s="33"/>
      <c r="X31" s="33"/>
      <c r="Y31" s="33"/>
    </row>
    <row r="32" spans="1:30" x14ac:dyDescent="0.35">
      <c r="A32" t="s">
        <v>3</v>
      </c>
      <c r="B32" s="2">
        <v>3.4009999999999998</v>
      </c>
      <c r="C32" s="2">
        <v>4.0648999999999997</v>
      </c>
      <c r="D32" s="2">
        <v>3.2654999999999998</v>
      </c>
      <c r="U32" s="33"/>
      <c r="V32" s="33"/>
      <c r="W32" s="33"/>
      <c r="X32" s="33"/>
      <c r="Y32" s="33"/>
      <c r="AC32" s="22"/>
      <c r="AD32" s="22"/>
    </row>
    <row r="33" spans="1:25" x14ac:dyDescent="0.35">
      <c r="A33" t="s">
        <v>10</v>
      </c>
      <c r="B33" s="2">
        <v>20.420400000000001</v>
      </c>
      <c r="C33" s="2">
        <v>28.072700000000001</v>
      </c>
      <c r="D33" s="2">
        <v>19.038699999999999</v>
      </c>
      <c r="U33" s="33"/>
      <c r="V33" s="33"/>
      <c r="W33" s="33"/>
      <c r="X33" s="33"/>
      <c r="Y33" s="33"/>
    </row>
    <row r="34" spans="1:25" x14ac:dyDescent="0.35">
      <c r="A34" t="s">
        <v>4</v>
      </c>
      <c r="B34" s="2">
        <v>9.9361999999999995</v>
      </c>
      <c r="C34" s="2">
        <v>13.481199999999999</v>
      </c>
      <c r="D34" s="2">
        <v>9.3313000000000006</v>
      </c>
      <c r="U34" s="33"/>
      <c r="V34" s="33"/>
      <c r="W34" s="33"/>
      <c r="X34" s="33"/>
      <c r="Y34" s="33"/>
    </row>
    <row r="35" spans="1:25" x14ac:dyDescent="0.35">
      <c r="A35" t="s">
        <v>5</v>
      </c>
      <c r="B35" s="2">
        <v>9.9244000000000003</v>
      </c>
      <c r="C35" s="2">
        <v>13.4635</v>
      </c>
      <c r="D35" s="2">
        <v>9.3203999999999994</v>
      </c>
      <c r="U35" s="33"/>
      <c r="V35" s="33"/>
      <c r="W35" s="33"/>
      <c r="X35" s="33"/>
      <c r="Y35" s="33"/>
    </row>
    <row r="36" spans="1:25" x14ac:dyDescent="0.35">
      <c r="A36" t="s">
        <v>6</v>
      </c>
      <c r="B36" s="2">
        <v>9.9064999999999994</v>
      </c>
      <c r="C36" s="2">
        <v>13.436500000000001</v>
      </c>
      <c r="D36" s="2">
        <v>9.3038000000000007</v>
      </c>
      <c r="U36" s="34"/>
      <c r="V36" s="34"/>
      <c r="W36" s="34"/>
      <c r="X36" s="34"/>
      <c r="Y36" s="34"/>
    </row>
    <row r="37" spans="1:25" x14ac:dyDescent="0.35">
      <c r="A37" t="s">
        <v>7</v>
      </c>
      <c r="B37" s="2">
        <v>9.7931000000000008</v>
      </c>
      <c r="C37" s="2">
        <v>13.237399999999999</v>
      </c>
      <c r="D37" s="2">
        <v>9.1979000000000006</v>
      </c>
      <c r="U37" s="34"/>
      <c r="V37" s="34"/>
      <c r="W37" s="34"/>
      <c r="X37" s="34"/>
      <c r="Y37" s="34"/>
    </row>
    <row r="38" spans="1:25" x14ac:dyDescent="0.35">
      <c r="A38" t="s">
        <v>8</v>
      </c>
      <c r="B38" s="2">
        <v>9.7357999999999993</v>
      </c>
      <c r="C38" s="2">
        <v>13.1503</v>
      </c>
      <c r="D38" s="2">
        <v>9.1448999999999998</v>
      </c>
      <c r="U38" s="34"/>
      <c r="V38" s="34"/>
      <c r="W38" s="34"/>
      <c r="X38" s="34"/>
      <c r="Y38" s="34"/>
    </row>
    <row r="39" spans="1:25" x14ac:dyDescent="0.35">
      <c r="A39" s="15" t="s">
        <v>64</v>
      </c>
      <c r="B39" s="2"/>
      <c r="C39" s="2"/>
      <c r="D39" s="2"/>
    </row>
    <row r="40" spans="1:25" x14ac:dyDescent="0.35">
      <c r="A40" t="s">
        <v>1</v>
      </c>
      <c r="B40" s="2">
        <v>0.81666000000000005</v>
      </c>
      <c r="C40" s="2">
        <v>0.89354</v>
      </c>
      <c r="D40" s="2">
        <v>0.81579999999999997</v>
      </c>
    </row>
    <row r="41" spans="1:25" x14ac:dyDescent="0.35">
      <c r="A41" t="s">
        <v>2</v>
      </c>
      <c r="B41" s="2">
        <v>0.81823000000000001</v>
      </c>
      <c r="C41" s="2">
        <v>0.89468999999999999</v>
      </c>
      <c r="D41" s="2">
        <v>0.81728000000000001</v>
      </c>
    </row>
    <row r="42" spans="1:25" x14ac:dyDescent="0.35">
      <c r="A42" t="s">
        <v>3</v>
      </c>
      <c r="B42" s="2">
        <v>0.82274000000000003</v>
      </c>
      <c r="C42" s="2">
        <v>0.89739999999999998</v>
      </c>
      <c r="D42" s="2">
        <v>0.82167000000000001</v>
      </c>
    </row>
    <row r="43" spans="1:25" x14ac:dyDescent="0.35">
      <c r="A43" t="s">
        <v>10</v>
      </c>
      <c r="B43" s="2">
        <v>0.89071999999999996</v>
      </c>
      <c r="C43" s="2">
        <v>0.94486000000000003</v>
      </c>
      <c r="D43" s="2">
        <v>0.88800999999999997</v>
      </c>
    </row>
    <row r="44" spans="1:25" x14ac:dyDescent="0.35">
      <c r="A44" t="s">
        <v>4</v>
      </c>
      <c r="B44" s="2">
        <v>0.78317000000000003</v>
      </c>
      <c r="C44" s="2">
        <v>0.86817</v>
      </c>
      <c r="D44" s="2">
        <v>0.78408</v>
      </c>
    </row>
    <row r="45" spans="1:25" x14ac:dyDescent="0.35">
      <c r="A45" t="s">
        <v>5</v>
      </c>
      <c r="B45" s="2">
        <v>0.78319000000000005</v>
      </c>
      <c r="C45" s="2">
        <v>0.86819000000000002</v>
      </c>
      <c r="D45" s="2">
        <v>0.78410000000000002</v>
      </c>
    </row>
    <row r="46" spans="1:25" x14ac:dyDescent="0.35">
      <c r="A46" t="s">
        <v>6</v>
      </c>
      <c r="B46" s="2">
        <v>0.78317999999999999</v>
      </c>
      <c r="C46" s="2">
        <v>0.86817999999999995</v>
      </c>
      <c r="D46" s="2">
        <v>0.78408999999999995</v>
      </c>
    </row>
    <row r="47" spans="1:25" x14ac:dyDescent="0.35">
      <c r="A47" t="s">
        <v>7</v>
      </c>
      <c r="B47" s="2">
        <v>0.78720000000000001</v>
      </c>
      <c r="C47" s="2">
        <v>0.87143000000000004</v>
      </c>
      <c r="D47" s="2">
        <v>0.78783999999999998</v>
      </c>
    </row>
    <row r="48" spans="1:25" x14ac:dyDescent="0.35">
      <c r="A48" t="s">
        <v>8</v>
      </c>
      <c r="B48" s="2">
        <v>0.78744000000000003</v>
      </c>
      <c r="C48" s="2">
        <v>0.87163000000000002</v>
      </c>
      <c r="D48" s="2">
        <v>0.78807000000000005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Inputs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</dc:creator>
  <cp:lastModifiedBy>Angus Moore</cp:lastModifiedBy>
  <dcterms:created xsi:type="dcterms:W3CDTF">2019-02-13T18:12:28Z</dcterms:created>
  <dcterms:modified xsi:type="dcterms:W3CDTF">2023-11-02T13:37:43Z</dcterms:modified>
</cp:coreProperties>
</file>