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ommerdal-my.sharepoint.com/personal/magnus_tommerdal_no/Documents/Desktop/Diverse/Excel/Stål/"/>
    </mc:Choice>
  </mc:AlternateContent>
  <xr:revisionPtr revIDLastSave="635" documentId="13_ncr:1_{647B849C-B0FF-4295-A8ED-39868C82D41A}" xr6:coauthVersionLast="47" xr6:coauthVersionMax="47" xr10:uidLastSave="{A26BFDF9-8404-4170-9755-D835EC1B19F8}"/>
  <bookViews>
    <workbookView xWindow="-28920" yWindow="-120" windowWidth="29040" windowHeight="15840" activeTab="1" xr2:uid="{C901CE18-D614-49BA-87D6-A2FC52B47949}"/>
  </bookViews>
  <sheets>
    <sheet name="generiske_bjelker_iht_linsgroup" sheetId="9" r:id="rId1"/>
    <sheet name="IPE HEA HEB relativ design" sheetId="7" r:id="rId2"/>
    <sheet name="fritt opplagt bjelke" sheetId="2" r:id="rId3"/>
    <sheet name="IPE" sheetId="5" r:id="rId4"/>
    <sheet name="HEA" sheetId="1" r:id="rId5"/>
    <sheet name="HEB" sheetId="3" r:id="rId6"/>
    <sheet name="Profiltyper" sheetId="4" r:id="rId7"/>
    <sheet name="Bjelkemodeller (WIP)" sheetId="8" r:id="rId8"/>
    <sheet name="fritt opplagte bjelker" sheetId="6" r:id="rId9"/>
  </sheets>
  <definedNames>
    <definedName name="_xlnm._FilterDatabase" localSheetId="8" hidden="1">'fritt opplagte bjelker'!$A$5:$AK$135</definedName>
    <definedName name="_xlnm._FilterDatabase" localSheetId="0" hidden="1">generiske_bjelker_iht_linsgroup!$B$5:$AM$9</definedName>
    <definedName name="Profiles">Profiltyper!$A:$A</definedName>
    <definedName name="test">'Bjelkemodeller (WIP)'!$C$13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8" i="9" l="1"/>
  <c r="AC28" i="9"/>
  <c r="AM28" i="9" s="1"/>
  <c r="U28" i="9"/>
  <c r="T28" i="9"/>
  <c r="S28" i="9"/>
  <c r="P28" i="9"/>
  <c r="AG27" i="9"/>
  <c r="AC27" i="9"/>
  <c r="AM27" i="9" s="1"/>
  <c r="U27" i="9"/>
  <c r="T27" i="9"/>
  <c r="S27" i="9"/>
  <c r="P27" i="9"/>
  <c r="AG26" i="9"/>
  <c r="AC26" i="9"/>
  <c r="AL26" i="9" s="1"/>
  <c r="U26" i="9"/>
  <c r="T26" i="9"/>
  <c r="S26" i="9"/>
  <c r="P26" i="9"/>
  <c r="AG24" i="9"/>
  <c r="AC24" i="9"/>
  <c r="AL24" i="9" s="1"/>
  <c r="U24" i="9"/>
  <c r="T24" i="9"/>
  <c r="S24" i="9"/>
  <c r="P24" i="9"/>
  <c r="AG22" i="9"/>
  <c r="AC22" i="9"/>
  <c r="AM22" i="9" s="1"/>
  <c r="U22" i="9"/>
  <c r="T22" i="9"/>
  <c r="S22" i="9"/>
  <c r="P22" i="9"/>
  <c r="AG21" i="9"/>
  <c r="AC21" i="9"/>
  <c r="AM21" i="9" s="1"/>
  <c r="U21" i="9"/>
  <c r="T21" i="9"/>
  <c r="S21" i="9"/>
  <c r="P21" i="9"/>
  <c r="AG20" i="9"/>
  <c r="AC20" i="9"/>
  <c r="AM20" i="9" s="1"/>
  <c r="U20" i="9"/>
  <c r="T20" i="9"/>
  <c r="S20" i="9"/>
  <c r="P20" i="9"/>
  <c r="P19" i="9"/>
  <c r="AG19" i="9"/>
  <c r="U19" i="9"/>
  <c r="T19" i="9"/>
  <c r="S19" i="9"/>
  <c r="AC19" i="9"/>
  <c r="AG17" i="9"/>
  <c r="U17" i="9"/>
  <c r="T17" i="9"/>
  <c r="S17" i="9"/>
  <c r="F17" i="9"/>
  <c r="AC17" i="9" s="1"/>
  <c r="AG16" i="9"/>
  <c r="U16" i="9"/>
  <c r="T16" i="9"/>
  <c r="S16" i="9"/>
  <c r="F16" i="9"/>
  <c r="P16" i="9" s="1"/>
  <c r="F15" i="9"/>
  <c r="P15" i="9" s="1"/>
  <c r="AG15" i="9"/>
  <c r="U15" i="9"/>
  <c r="T15" i="9"/>
  <c r="S15" i="9"/>
  <c r="G12" i="9"/>
  <c r="G13" i="9" s="1"/>
  <c r="F12" i="9"/>
  <c r="F13" i="9" s="1"/>
  <c r="E12" i="9"/>
  <c r="E13" i="9" s="1"/>
  <c r="S13" i="9" s="1"/>
  <c r="H12" i="9"/>
  <c r="H13" i="9" s="1"/>
  <c r="AG13" i="9"/>
  <c r="U13" i="9"/>
  <c r="T13" i="9"/>
  <c r="AG12" i="9"/>
  <c r="U12" i="9"/>
  <c r="T12" i="9"/>
  <c r="AG11" i="9"/>
  <c r="AC11" i="9"/>
  <c r="AL11" i="9" s="1"/>
  <c r="U11" i="9"/>
  <c r="T11" i="9"/>
  <c r="S11" i="9"/>
  <c r="P11" i="9"/>
  <c r="E22" i="8"/>
  <c r="E21" i="8"/>
  <c r="U9" i="9"/>
  <c r="T9" i="9"/>
  <c r="U8" i="9"/>
  <c r="T8" i="9"/>
  <c r="S7" i="9"/>
  <c r="U7" i="9"/>
  <c r="T7" i="9"/>
  <c r="E15" i="8"/>
  <c r="C15" i="8"/>
  <c r="AG9" i="9"/>
  <c r="AG8" i="9"/>
  <c r="G8" i="9"/>
  <c r="G9" i="9" s="1"/>
  <c r="F8" i="9"/>
  <c r="F9" i="9" s="1"/>
  <c r="S9" i="9"/>
  <c r="AG7" i="9"/>
  <c r="H7" i="9"/>
  <c r="AC7" i="9" s="1"/>
  <c r="AD7" i="9" s="1"/>
  <c r="E137" i="6"/>
  <c r="AB137" i="6" s="1"/>
  <c r="AC137" i="6" s="1"/>
  <c r="AF138" i="6"/>
  <c r="AB138" i="6"/>
  <c r="AJ138" i="6" s="1"/>
  <c r="R138" i="6"/>
  <c r="O138" i="6"/>
  <c r="AF137" i="6"/>
  <c r="R137" i="6"/>
  <c r="E14" i="8"/>
  <c r="C14" i="8"/>
  <c r="C13" i="8"/>
  <c r="E13" i="8"/>
  <c r="AF135" i="6"/>
  <c r="AF134" i="6"/>
  <c r="AF132" i="6"/>
  <c r="AF130" i="6"/>
  <c r="AF129" i="6"/>
  <c r="AF128" i="6"/>
  <c r="AF126" i="6"/>
  <c r="AF125" i="6"/>
  <c r="AF124" i="6"/>
  <c r="AF122" i="6"/>
  <c r="AF121" i="6"/>
  <c r="AF120" i="6"/>
  <c r="AF118" i="6"/>
  <c r="AF117" i="6"/>
  <c r="AF116" i="6"/>
  <c r="AF114" i="6"/>
  <c r="AF113" i="6"/>
  <c r="AF112" i="6"/>
  <c r="AF110" i="6"/>
  <c r="AF109" i="6"/>
  <c r="AF108" i="6"/>
  <c r="AF106" i="6"/>
  <c r="AF104" i="6"/>
  <c r="AF103" i="6"/>
  <c r="AF102" i="6"/>
  <c r="AF100" i="6"/>
  <c r="AF98" i="6"/>
  <c r="AF96" i="6"/>
  <c r="AF95" i="6"/>
  <c r="AF94" i="6"/>
  <c r="AF92" i="6"/>
  <c r="AF91" i="6"/>
  <c r="AF90" i="6"/>
  <c r="AF88" i="6"/>
  <c r="AF87" i="6"/>
  <c r="AF86" i="6"/>
  <c r="AF84" i="6"/>
  <c r="AF82" i="6"/>
  <c r="AF81" i="6"/>
  <c r="AF80" i="6"/>
  <c r="AF78" i="6"/>
  <c r="AF77" i="6"/>
  <c r="AF76" i="6"/>
  <c r="AF74" i="6"/>
  <c r="AF73" i="6"/>
  <c r="AF72" i="6"/>
  <c r="AF70" i="6"/>
  <c r="AF68" i="6"/>
  <c r="AF66" i="6"/>
  <c r="AF64" i="6"/>
  <c r="AF62" i="6"/>
  <c r="AF60" i="6"/>
  <c r="AF58" i="6"/>
  <c r="AF57" i="6"/>
  <c r="AF55" i="6"/>
  <c r="AF53" i="6"/>
  <c r="AF51" i="6"/>
  <c r="AF50" i="6"/>
  <c r="AF49" i="6"/>
  <c r="AF47" i="6"/>
  <c r="AF46" i="6"/>
  <c r="AF45" i="6"/>
  <c r="AF43" i="6"/>
  <c r="AF42" i="6"/>
  <c r="AF41" i="6"/>
  <c r="AF38" i="6"/>
  <c r="AF37" i="6"/>
  <c r="AF36" i="6"/>
  <c r="AF33" i="6"/>
  <c r="AF32" i="6"/>
  <c r="AF31" i="6"/>
  <c r="AF29" i="6"/>
  <c r="AF28" i="6"/>
  <c r="AF27" i="6"/>
  <c r="AF25" i="6"/>
  <c r="AF24" i="6"/>
  <c r="AF23" i="6"/>
  <c r="AF21" i="6"/>
  <c r="AF20" i="6"/>
  <c r="AF19" i="6"/>
  <c r="AF17" i="6"/>
  <c r="AF16" i="6"/>
  <c r="AF15" i="6"/>
  <c r="AF13" i="6"/>
  <c r="AF12" i="6"/>
  <c r="AF11" i="6"/>
  <c r="AF9" i="6"/>
  <c r="AF8" i="6"/>
  <c r="AF7" i="6"/>
  <c r="Q18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20" i="9"/>
  <c r="W15" i="9"/>
  <c r="AI17" i="9"/>
  <c r="K26" i="9"/>
  <c r="AI20" i="9"/>
  <c r="K13" i="9"/>
  <c r="W21" i="9"/>
  <c r="V137" i="6"/>
  <c r="AI9" i="9"/>
  <c r="W19" i="9"/>
  <c r="K17" i="9"/>
  <c r="AI8" i="9"/>
  <c r="W24" i="9"/>
  <c r="AI7" i="9"/>
  <c r="AI27" i="9"/>
  <c r="W13" i="9"/>
  <c r="W12" i="9"/>
  <c r="W27" i="9"/>
  <c r="W22" i="9"/>
  <c r="W11" i="9"/>
  <c r="W16" i="9"/>
  <c r="K8" i="9"/>
  <c r="W9" i="9"/>
  <c r="W26" i="9"/>
  <c r="K7" i="9"/>
  <c r="K20" i="9"/>
  <c r="AI15" i="9"/>
  <c r="W17" i="9"/>
  <c r="AH138" i="6"/>
  <c r="AI26" i="9"/>
  <c r="AI13" i="9"/>
  <c r="AI28" i="9"/>
  <c r="K12" i="9"/>
  <c r="K9" i="9"/>
  <c r="AI19" i="9"/>
  <c r="AI11" i="9"/>
  <c r="K15" i="9"/>
  <c r="AI21" i="9"/>
  <c r="W8" i="9"/>
  <c r="K28" i="9"/>
  <c r="W7" i="9"/>
  <c r="AI22" i="9"/>
  <c r="K21" i="9"/>
  <c r="K19" i="9"/>
  <c r="AI12" i="9"/>
  <c r="V138" i="6"/>
  <c r="K16" i="9"/>
  <c r="J138" i="6"/>
  <c r="K22" i="9"/>
  <c r="K27" i="9"/>
  <c r="W28" i="9"/>
  <c r="AH137" i="6"/>
  <c r="K24" i="9"/>
  <c r="J137" i="6"/>
  <c r="AI24" i="9"/>
  <c r="AI16" i="9"/>
  <c r="K11" i="9"/>
  <c r="AM26" i="9" l="1"/>
  <c r="V27" i="9"/>
  <c r="V26" i="9"/>
  <c r="AJ26" i="9"/>
  <c r="AJ27" i="9"/>
  <c r="L28" i="9"/>
  <c r="M28" i="9" s="1"/>
  <c r="AJ28" i="9"/>
  <c r="L26" i="9"/>
  <c r="M26" i="9" s="1"/>
  <c r="L27" i="9"/>
  <c r="M27" i="9" s="1"/>
  <c r="X28" i="9"/>
  <c r="Y28" i="9" s="1"/>
  <c r="I28" i="9" s="1"/>
  <c r="X27" i="9"/>
  <c r="Y27" i="9" s="1"/>
  <c r="I27" i="9" s="1"/>
  <c r="V28" i="9"/>
  <c r="AD26" i="9"/>
  <c r="AH26" i="9" s="1"/>
  <c r="AK26" i="9" s="1"/>
  <c r="J26" i="9" s="1"/>
  <c r="AD27" i="9"/>
  <c r="AH27" i="9" s="1"/>
  <c r="AK27" i="9" s="1"/>
  <c r="J27" i="9" s="1"/>
  <c r="X26" i="9"/>
  <c r="Y26" i="9" s="1"/>
  <c r="I26" i="9" s="1"/>
  <c r="AD28" i="9"/>
  <c r="AH28" i="9" s="1"/>
  <c r="AK28" i="9" s="1"/>
  <c r="J28" i="9" s="1"/>
  <c r="AL27" i="9"/>
  <c r="AL28" i="9"/>
  <c r="AM24" i="9"/>
  <c r="L24" i="9"/>
  <c r="M24" i="9" s="1"/>
  <c r="AJ24" i="9"/>
  <c r="X24" i="9"/>
  <c r="Y24" i="9" s="1"/>
  <c r="I24" i="9" s="1"/>
  <c r="V24" i="9"/>
  <c r="AD24" i="9"/>
  <c r="AH24" i="9" s="1"/>
  <c r="AK24" i="9" s="1"/>
  <c r="J24" i="9" s="1"/>
  <c r="S12" i="9"/>
  <c r="AC16" i="9"/>
  <c r="AM16" i="9" s="1"/>
  <c r="L22" i="9"/>
  <c r="M22" i="9" s="1"/>
  <c r="AJ22" i="9"/>
  <c r="X22" i="9"/>
  <c r="Y22" i="9" s="1"/>
  <c r="I22" i="9" s="1"/>
  <c r="V22" i="9"/>
  <c r="AD22" i="9"/>
  <c r="AH22" i="9" s="1"/>
  <c r="AK22" i="9" s="1"/>
  <c r="J22" i="9" s="1"/>
  <c r="AL22" i="9"/>
  <c r="L21" i="9"/>
  <c r="M21" i="9" s="1"/>
  <c r="AJ21" i="9"/>
  <c r="X21" i="9"/>
  <c r="Y21" i="9" s="1"/>
  <c r="I21" i="9" s="1"/>
  <c r="V21" i="9"/>
  <c r="AD21" i="9"/>
  <c r="AH21" i="9" s="1"/>
  <c r="AK21" i="9" s="1"/>
  <c r="J21" i="9" s="1"/>
  <c r="AL21" i="9"/>
  <c r="L20" i="9"/>
  <c r="M20" i="9" s="1"/>
  <c r="AJ20" i="9"/>
  <c r="X20" i="9"/>
  <c r="Y20" i="9" s="1"/>
  <c r="I20" i="9" s="1"/>
  <c r="V20" i="9"/>
  <c r="AD20" i="9"/>
  <c r="AH20" i="9" s="1"/>
  <c r="AK20" i="9" s="1"/>
  <c r="J20" i="9" s="1"/>
  <c r="AL20" i="9"/>
  <c r="L19" i="9"/>
  <c r="M19" i="9" s="1"/>
  <c r="AJ19" i="9"/>
  <c r="AM19" i="9"/>
  <c r="AL19" i="9"/>
  <c r="AD19" i="9"/>
  <c r="AH19" i="9" s="1"/>
  <c r="AK19" i="9" s="1"/>
  <c r="J19" i="9" s="1"/>
  <c r="X19" i="9"/>
  <c r="Y19" i="9" s="1"/>
  <c r="I19" i="9" s="1"/>
  <c r="V19" i="9"/>
  <c r="AM11" i="9"/>
  <c r="P17" i="9"/>
  <c r="V17" i="9" s="1"/>
  <c r="L17" i="9"/>
  <c r="M17" i="9" s="1"/>
  <c r="AJ17" i="9"/>
  <c r="AL17" i="9"/>
  <c r="AM17" i="9"/>
  <c r="AD17" i="9"/>
  <c r="AH17" i="9" s="1"/>
  <c r="AK17" i="9" s="1"/>
  <c r="J17" i="9" s="1"/>
  <c r="L16" i="9"/>
  <c r="M16" i="9" s="1"/>
  <c r="AJ16" i="9"/>
  <c r="X16" i="9"/>
  <c r="Y16" i="9" s="1"/>
  <c r="I16" i="9" s="1"/>
  <c r="V16" i="9"/>
  <c r="AC15" i="9"/>
  <c r="AM15" i="9" s="1"/>
  <c r="AJ15" i="9"/>
  <c r="L15" i="9"/>
  <c r="M15" i="9" s="1"/>
  <c r="X15" i="9"/>
  <c r="Y15" i="9" s="1"/>
  <c r="I15" i="9" s="1"/>
  <c r="V15" i="9"/>
  <c r="P12" i="9"/>
  <c r="V12" i="9" s="1"/>
  <c r="AC12" i="9"/>
  <c r="AD12" i="9" s="1"/>
  <c r="AH12" i="9" s="1"/>
  <c r="AK12" i="9" s="1"/>
  <c r="J12" i="9" s="1"/>
  <c r="E25" i="8"/>
  <c r="AK138" i="6"/>
  <c r="AC13" i="9"/>
  <c r="AM13" i="9" s="1"/>
  <c r="P13" i="9"/>
  <c r="X13" i="9" s="1"/>
  <c r="Y13" i="9" s="1"/>
  <c r="I13" i="9" s="1"/>
  <c r="V11" i="9"/>
  <c r="L13" i="9"/>
  <c r="M13" i="9" s="1"/>
  <c r="AJ11" i="9"/>
  <c r="AJ12" i="9"/>
  <c r="L11" i="9"/>
  <c r="M11" i="9" s="1"/>
  <c r="L12" i="9"/>
  <c r="M12" i="9" s="1"/>
  <c r="AJ13" i="9"/>
  <c r="X11" i="9"/>
  <c r="Y11" i="9" s="1"/>
  <c r="I11" i="9" s="1"/>
  <c r="AD11" i="9"/>
  <c r="AH11" i="9" s="1"/>
  <c r="AK11" i="9" s="1"/>
  <c r="J11" i="9" s="1"/>
  <c r="AG137" i="6"/>
  <c r="AI137" i="6" s="1"/>
  <c r="I137" i="6" s="1"/>
  <c r="AJ8" i="9"/>
  <c r="AJ9" i="9"/>
  <c r="AJ7" i="9"/>
  <c r="S8" i="9"/>
  <c r="AL7" i="9"/>
  <c r="AM7" i="9"/>
  <c r="H8" i="9"/>
  <c r="AC8" i="9" s="1"/>
  <c r="AH7" i="9"/>
  <c r="AK7" i="9" s="1"/>
  <c r="J7" i="9" s="1"/>
  <c r="P7" i="9"/>
  <c r="V7" i="9" s="1"/>
  <c r="L8" i="9"/>
  <c r="M8" i="9" s="1"/>
  <c r="L7" i="9"/>
  <c r="M7" i="9" s="1"/>
  <c r="L9" i="9"/>
  <c r="M9" i="9" s="1"/>
  <c r="O137" i="6"/>
  <c r="U137" i="6" s="1"/>
  <c r="K137" i="6"/>
  <c r="L137" i="6" s="1"/>
  <c r="K138" i="6"/>
  <c r="L138" i="6" s="1"/>
  <c r="W138" i="6"/>
  <c r="X138" i="6" s="1"/>
  <c r="H138" i="6" s="1"/>
  <c r="AC138" i="6"/>
  <c r="AG138" i="6" s="1"/>
  <c r="AI138" i="6" s="1"/>
  <c r="I138" i="6" s="1"/>
  <c r="U138" i="6"/>
  <c r="AB135" i="6"/>
  <c r="AJ135" i="6" s="1"/>
  <c r="O135" i="6"/>
  <c r="R134" i="6"/>
  <c r="AB134" i="6"/>
  <c r="AC134" i="6" s="1"/>
  <c r="O134" i="6"/>
  <c r="R132" i="6"/>
  <c r="AB132" i="6"/>
  <c r="AC132" i="6" s="1"/>
  <c r="G128" i="6"/>
  <c r="F129" i="6"/>
  <c r="F130" i="6" s="1"/>
  <c r="D129" i="6"/>
  <c r="R129" i="6" s="1"/>
  <c r="R128" i="6"/>
  <c r="E128" i="6"/>
  <c r="E129" i="6" s="1"/>
  <c r="E130" i="6" s="1"/>
  <c r="E124" i="6"/>
  <c r="G124" i="6"/>
  <c r="G125" i="6" s="1"/>
  <c r="F125" i="6"/>
  <c r="F126" i="6" s="1"/>
  <c r="D125" i="6"/>
  <c r="R125" i="6" s="1"/>
  <c r="R124" i="6"/>
  <c r="E120" i="6"/>
  <c r="E121" i="6" s="1"/>
  <c r="E122" i="6" s="1"/>
  <c r="G121" i="6"/>
  <c r="F121" i="6"/>
  <c r="F122" i="6" s="1"/>
  <c r="D121" i="6"/>
  <c r="D122" i="6" s="1"/>
  <c r="R122" i="6" s="1"/>
  <c r="R120" i="6"/>
  <c r="E116" i="6"/>
  <c r="AB116" i="6" s="1"/>
  <c r="AC116" i="6" s="1"/>
  <c r="F117" i="6"/>
  <c r="F118" i="6" s="1"/>
  <c r="D117" i="6"/>
  <c r="D118" i="6" s="1"/>
  <c r="R118" i="6" s="1"/>
  <c r="R116" i="6"/>
  <c r="G117" i="6"/>
  <c r="G112" i="6"/>
  <c r="G113" i="6" s="1"/>
  <c r="G114" i="6" s="1"/>
  <c r="E112" i="6"/>
  <c r="E113" i="6" s="1"/>
  <c r="F113" i="6"/>
  <c r="F114" i="6" s="1"/>
  <c r="D113" i="6"/>
  <c r="D114" i="6" s="1"/>
  <c r="R114" i="6" s="1"/>
  <c r="R112" i="6"/>
  <c r="G110" i="6"/>
  <c r="AB110" i="6" s="1"/>
  <c r="AC110" i="6" s="1"/>
  <c r="G109" i="6"/>
  <c r="AB109" i="6" s="1"/>
  <c r="AC109" i="6" s="1"/>
  <c r="G108" i="6"/>
  <c r="AB108" i="6" s="1"/>
  <c r="AC108" i="6" s="1"/>
  <c r="R110" i="6"/>
  <c r="R109" i="6"/>
  <c r="R108" i="6"/>
  <c r="R106" i="6"/>
  <c r="E106" i="6"/>
  <c r="AB106" i="6" s="1"/>
  <c r="AC106" i="6" s="1"/>
  <c r="E104" i="6"/>
  <c r="AB104" i="6" s="1"/>
  <c r="AC104" i="6" s="1"/>
  <c r="E103" i="6"/>
  <c r="AB103" i="6" s="1"/>
  <c r="AC103" i="6" s="1"/>
  <c r="E102" i="6"/>
  <c r="R104" i="6"/>
  <c r="R103" i="6"/>
  <c r="J109" i="6"/>
  <c r="J128" i="6"/>
  <c r="AH124" i="6"/>
  <c r="AH113" i="6"/>
  <c r="J120" i="6"/>
  <c r="V110" i="6"/>
  <c r="J106" i="6"/>
  <c r="J118" i="6"/>
  <c r="V116" i="6"/>
  <c r="J121" i="6"/>
  <c r="J110" i="6"/>
  <c r="V117" i="6"/>
  <c r="V109" i="6"/>
  <c r="V130" i="6"/>
  <c r="J104" i="6"/>
  <c r="V104" i="6"/>
  <c r="V129" i="6"/>
  <c r="J103" i="6"/>
  <c r="J134" i="6"/>
  <c r="J135" i="6"/>
  <c r="AH134" i="6"/>
  <c r="AH117" i="6"/>
  <c r="J132" i="6"/>
  <c r="AH104" i="6"/>
  <c r="AH120" i="6"/>
  <c r="AH125" i="6"/>
  <c r="V128" i="6"/>
  <c r="AH106" i="6"/>
  <c r="V135" i="6"/>
  <c r="J124" i="6"/>
  <c r="V108" i="6"/>
  <c r="V112" i="6"/>
  <c r="V126" i="6"/>
  <c r="AH112" i="6"/>
  <c r="V120" i="6"/>
  <c r="J112" i="6"/>
  <c r="V118" i="6"/>
  <c r="AH135" i="6"/>
  <c r="AH130" i="6"/>
  <c r="V114" i="6"/>
  <c r="AH103" i="6"/>
  <c r="AH118" i="6"/>
  <c r="AH109" i="6"/>
  <c r="V134" i="6"/>
  <c r="V106" i="6"/>
  <c r="V124" i="6"/>
  <c r="AH122" i="6"/>
  <c r="J117" i="6"/>
  <c r="AH116" i="6"/>
  <c r="AH129" i="6"/>
  <c r="AH126" i="6"/>
  <c r="J130" i="6"/>
  <c r="V121" i="6"/>
  <c r="J126" i="6"/>
  <c r="J114" i="6"/>
  <c r="AH121" i="6"/>
  <c r="J108" i="6"/>
  <c r="AH108" i="6"/>
  <c r="AH128" i="6"/>
  <c r="V113" i="6"/>
  <c r="AH132" i="6"/>
  <c r="AH114" i="6"/>
  <c r="V132" i="6"/>
  <c r="J113" i="6"/>
  <c r="V122" i="6"/>
  <c r="V103" i="6"/>
  <c r="AH110" i="6"/>
  <c r="V125" i="6"/>
  <c r="J116" i="6"/>
  <c r="J122" i="6"/>
  <c r="J129" i="6"/>
  <c r="J125" i="6"/>
  <c r="AL16" i="9" l="1"/>
  <c r="X17" i="9"/>
  <c r="Y17" i="9" s="1"/>
  <c r="I17" i="9" s="1"/>
  <c r="X12" i="9"/>
  <c r="Y12" i="9" s="1"/>
  <c r="I12" i="9" s="1"/>
  <c r="AD16" i="9"/>
  <c r="AH16" i="9" s="1"/>
  <c r="AK16" i="9" s="1"/>
  <c r="J16" i="9" s="1"/>
  <c r="AD13" i="9"/>
  <c r="AH13" i="9" s="1"/>
  <c r="AK13" i="9" s="1"/>
  <c r="J13" i="9" s="1"/>
  <c r="AL15" i="9"/>
  <c r="AD15" i="9"/>
  <c r="AH15" i="9" s="1"/>
  <c r="AK15" i="9" s="1"/>
  <c r="J15" i="9" s="1"/>
  <c r="V13" i="9"/>
  <c r="AL13" i="9"/>
  <c r="AM12" i="9"/>
  <c r="AL12" i="9"/>
  <c r="AD8" i="9"/>
  <c r="AH8" i="9" s="1"/>
  <c r="AK8" i="9" s="1"/>
  <c r="J8" i="9" s="1"/>
  <c r="AM8" i="9"/>
  <c r="AL8" i="9"/>
  <c r="X7" i="9"/>
  <c r="Y7" i="9" s="1"/>
  <c r="I7" i="9" s="1"/>
  <c r="H9" i="9"/>
  <c r="AC9" i="9" s="1"/>
  <c r="P8" i="9"/>
  <c r="W137" i="6"/>
  <c r="X137" i="6" s="1"/>
  <c r="H137" i="6" s="1"/>
  <c r="W134" i="6"/>
  <c r="X134" i="6" s="1"/>
  <c r="W135" i="6"/>
  <c r="U134" i="6"/>
  <c r="R135" i="6"/>
  <c r="U135" i="6" s="1"/>
  <c r="AC135" i="6"/>
  <c r="AG135" i="6" s="1"/>
  <c r="AI135" i="6" s="1"/>
  <c r="I135" i="6" s="1"/>
  <c r="AK135" i="6"/>
  <c r="AG134" i="6"/>
  <c r="AI134" i="6" s="1"/>
  <c r="I134" i="6" s="1"/>
  <c r="K135" i="6"/>
  <c r="L135" i="6" s="1"/>
  <c r="K134" i="6"/>
  <c r="L134" i="6" s="1"/>
  <c r="AG132" i="6"/>
  <c r="AI132" i="6" s="1"/>
  <c r="I132" i="6" s="1"/>
  <c r="K132" i="6"/>
  <c r="L132" i="6" s="1"/>
  <c r="O132" i="6"/>
  <c r="U132" i="6" s="1"/>
  <c r="AB124" i="6"/>
  <c r="AC124" i="6" s="1"/>
  <c r="AG124" i="6" s="1"/>
  <c r="AI124" i="6" s="1"/>
  <c r="I124" i="6" s="1"/>
  <c r="O120" i="6"/>
  <c r="W120" i="6" s="1"/>
  <c r="X120" i="6" s="1"/>
  <c r="D130" i="6"/>
  <c r="R130" i="6" s="1"/>
  <c r="AG106" i="6"/>
  <c r="AI106" i="6" s="1"/>
  <c r="I106" i="6" s="1"/>
  <c r="AG116" i="6"/>
  <c r="AI116" i="6" s="1"/>
  <c r="I116" i="6" s="1"/>
  <c r="O128" i="6"/>
  <c r="W128" i="6" s="1"/>
  <c r="X128" i="6" s="1"/>
  <c r="R113" i="6"/>
  <c r="K128" i="6"/>
  <c r="L128" i="6" s="1"/>
  <c r="K129" i="6"/>
  <c r="L129" i="6" s="1"/>
  <c r="AB128" i="6"/>
  <c r="AC128" i="6" s="1"/>
  <c r="AG128" i="6" s="1"/>
  <c r="AI128" i="6" s="1"/>
  <c r="I128" i="6" s="1"/>
  <c r="G129" i="6"/>
  <c r="E125" i="6"/>
  <c r="E126" i="6" s="1"/>
  <c r="K124" i="6"/>
  <c r="L124" i="6" s="1"/>
  <c r="K125" i="6"/>
  <c r="L125" i="6" s="1"/>
  <c r="D126" i="6"/>
  <c r="R126" i="6" s="1"/>
  <c r="G126" i="6"/>
  <c r="O124" i="6"/>
  <c r="U124" i="6" s="1"/>
  <c r="AB121" i="6"/>
  <c r="AC121" i="6" s="1"/>
  <c r="AG121" i="6" s="1"/>
  <c r="AI121" i="6" s="1"/>
  <c r="I121" i="6" s="1"/>
  <c r="R121" i="6"/>
  <c r="K121" i="6"/>
  <c r="L121" i="6" s="1"/>
  <c r="K120" i="6"/>
  <c r="L120" i="6" s="1"/>
  <c r="K122" i="6"/>
  <c r="L122" i="6" s="1"/>
  <c r="G122" i="6"/>
  <c r="AB120" i="6"/>
  <c r="AC120" i="6" s="1"/>
  <c r="AG120" i="6" s="1"/>
  <c r="AI120" i="6" s="1"/>
  <c r="I120" i="6" s="1"/>
  <c r="O121" i="6"/>
  <c r="E117" i="6"/>
  <c r="E118" i="6" s="1"/>
  <c r="O116" i="6"/>
  <c r="W116" i="6" s="1"/>
  <c r="X116" i="6" s="1"/>
  <c r="R117" i="6"/>
  <c r="K116" i="6"/>
  <c r="L116" i="6" s="1"/>
  <c r="K117" i="6"/>
  <c r="L117" i="6" s="1"/>
  <c r="K118" i="6"/>
  <c r="L118" i="6" s="1"/>
  <c r="G118" i="6"/>
  <c r="AB112" i="6"/>
  <c r="AC112" i="6" s="1"/>
  <c r="AG112" i="6" s="1"/>
  <c r="AI112" i="6" s="1"/>
  <c r="I112" i="6" s="1"/>
  <c r="E114" i="6"/>
  <c r="AB114" i="6" s="1"/>
  <c r="AC114" i="6" s="1"/>
  <c r="AG114" i="6" s="1"/>
  <c r="AI114" i="6" s="1"/>
  <c r="I114" i="6" s="1"/>
  <c r="AB113" i="6"/>
  <c r="AC113" i="6" s="1"/>
  <c r="AG113" i="6" s="1"/>
  <c r="AI113" i="6" s="1"/>
  <c r="I113" i="6" s="1"/>
  <c r="K113" i="6"/>
  <c r="L113" i="6" s="1"/>
  <c r="K112" i="6"/>
  <c r="L112" i="6" s="1"/>
  <c r="K114" i="6"/>
  <c r="L114" i="6" s="1"/>
  <c r="O113" i="6"/>
  <c r="W113" i="6" s="1"/>
  <c r="O112" i="6"/>
  <c r="U112" i="6" s="1"/>
  <c r="AG109" i="6"/>
  <c r="AI109" i="6" s="1"/>
  <c r="I109" i="6" s="1"/>
  <c r="O109" i="6"/>
  <c r="W109" i="6" s="1"/>
  <c r="X109" i="6" s="1"/>
  <c r="AG108" i="6"/>
  <c r="AI108" i="6" s="1"/>
  <c r="I108" i="6" s="1"/>
  <c r="AG110" i="6"/>
  <c r="AI110" i="6" s="1"/>
  <c r="I110" i="6" s="1"/>
  <c r="K110" i="6"/>
  <c r="L110" i="6" s="1"/>
  <c r="O110" i="6"/>
  <c r="U110" i="6" s="1"/>
  <c r="K109" i="6"/>
  <c r="L109" i="6" s="1"/>
  <c r="K108" i="6"/>
  <c r="L108" i="6" s="1"/>
  <c r="O108" i="6"/>
  <c r="U108" i="6" s="1"/>
  <c r="O106" i="6"/>
  <c r="W106" i="6" s="1"/>
  <c r="X106" i="6" s="1"/>
  <c r="K106" i="6"/>
  <c r="L106" i="6" s="1"/>
  <c r="AG104" i="6"/>
  <c r="AI104" i="6" s="1"/>
  <c r="I104" i="6" s="1"/>
  <c r="AG103" i="6"/>
  <c r="AI103" i="6" s="1"/>
  <c r="I103" i="6" s="1"/>
  <c r="K103" i="6"/>
  <c r="L103" i="6" s="1"/>
  <c r="K104" i="6"/>
  <c r="L104" i="6" s="1"/>
  <c r="O104" i="6"/>
  <c r="U104" i="6" s="1"/>
  <c r="O103" i="6"/>
  <c r="U103" i="6" s="1"/>
  <c r="R102" i="6"/>
  <c r="AB102" i="6"/>
  <c r="AC102" i="6" s="1"/>
  <c r="W33" i="7"/>
  <c r="W32" i="7"/>
  <c r="W31" i="7"/>
  <c r="W30" i="7"/>
  <c r="W14" i="7"/>
  <c r="W13" i="7"/>
  <c r="W12" i="7"/>
  <c r="W11" i="7"/>
  <c r="W10" i="7"/>
  <c r="Q28" i="7"/>
  <c r="Q29" i="7"/>
  <c r="Q30" i="7"/>
  <c r="Q31" i="7"/>
  <c r="Q32" i="7"/>
  <c r="Q33" i="7"/>
  <c r="Q27" i="7"/>
  <c r="Q26" i="7"/>
  <c r="Q25" i="7"/>
  <c r="Q24" i="7"/>
  <c r="Q23" i="7"/>
  <c r="Q22" i="7"/>
  <c r="Q21" i="7"/>
  <c r="Q20" i="7"/>
  <c r="Q19" i="7"/>
  <c r="Q17" i="7"/>
  <c r="Q16" i="7"/>
  <c r="Q15" i="7"/>
  <c r="Q14" i="7"/>
  <c r="Q13" i="7"/>
  <c r="Q12" i="7"/>
  <c r="Q11" i="7"/>
  <c r="Q10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G100" i="6"/>
  <c r="R100" i="6"/>
  <c r="E100" i="6"/>
  <c r="E98" i="6"/>
  <c r="O98" i="6" s="1"/>
  <c r="R98" i="6"/>
  <c r="G94" i="6"/>
  <c r="E94" i="6"/>
  <c r="AB96" i="6"/>
  <c r="AC96" i="6" s="1"/>
  <c r="R96" i="6"/>
  <c r="O96" i="6"/>
  <c r="AB95" i="6"/>
  <c r="AC95" i="6" s="1"/>
  <c r="R95" i="6"/>
  <c r="O95" i="6"/>
  <c r="R94" i="6"/>
  <c r="R92" i="6"/>
  <c r="O92" i="6"/>
  <c r="R91" i="6"/>
  <c r="AB91" i="6"/>
  <c r="AC91" i="6" s="1"/>
  <c r="AB90" i="6"/>
  <c r="AC90" i="6" s="1"/>
  <c r="R90" i="6"/>
  <c r="O90" i="6"/>
  <c r="E78" i="6"/>
  <c r="AB78" i="6" s="1"/>
  <c r="AC78" i="6" s="1"/>
  <c r="R78" i="6"/>
  <c r="V90" i="6"/>
  <c r="V91" i="6"/>
  <c r="D13" i="7"/>
  <c r="J102" i="6"/>
  <c r="V94" i="6"/>
  <c r="AH100" i="6"/>
  <c r="J94" i="6"/>
  <c r="J90" i="6"/>
  <c r="AH90" i="6"/>
  <c r="V92" i="6"/>
  <c r="V100" i="6"/>
  <c r="C17" i="7"/>
  <c r="AH96" i="6"/>
  <c r="AH95" i="6"/>
  <c r="J95" i="6"/>
  <c r="J92" i="6"/>
  <c r="AH102" i="6"/>
  <c r="J78" i="6"/>
  <c r="AH78" i="6"/>
  <c r="V98" i="6"/>
  <c r="AH91" i="6"/>
  <c r="J100" i="6"/>
  <c r="AH92" i="6"/>
  <c r="V78" i="6"/>
  <c r="J98" i="6"/>
  <c r="AH94" i="6"/>
  <c r="V102" i="6"/>
  <c r="AH98" i="6"/>
  <c r="D16" i="7"/>
  <c r="D17" i="7"/>
  <c r="C16" i="7"/>
  <c r="C13" i="7"/>
  <c r="J91" i="6"/>
  <c r="J96" i="6"/>
  <c r="V95" i="6"/>
  <c r="V96" i="6"/>
  <c r="H6" i="7" l="1"/>
  <c r="V8" i="9"/>
  <c r="X8" i="9"/>
  <c r="Y8" i="9" s="1"/>
  <c r="I8" i="9" s="1"/>
  <c r="U121" i="6"/>
  <c r="AD9" i="9"/>
  <c r="AH9" i="9" s="1"/>
  <c r="AK9" i="9" s="1"/>
  <c r="J9" i="9" s="1"/>
  <c r="AM9" i="9"/>
  <c r="AL9" i="9"/>
  <c r="P9" i="9"/>
  <c r="X9" i="9" s="1"/>
  <c r="Y9" i="9" s="1"/>
  <c r="I9" i="9" s="1"/>
  <c r="U96" i="6"/>
  <c r="W108" i="6"/>
  <c r="X108" i="6" s="1"/>
  <c r="H108" i="6" s="1"/>
  <c r="X113" i="6"/>
  <c r="H113" i="6" s="1"/>
  <c r="X135" i="6"/>
  <c r="H135" i="6" s="1"/>
  <c r="W124" i="6"/>
  <c r="X124" i="6" s="1"/>
  <c r="H124" i="6" s="1"/>
  <c r="W103" i="6"/>
  <c r="X103" i="6" s="1"/>
  <c r="H103" i="6" s="1"/>
  <c r="W112" i="6"/>
  <c r="X112" i="6" s="1"/>
  <c r="H112" i="6" s="1"/>
  <c r="U98" i="6"/>
  <c r="W110" i="6"/>
  <c r="X110" i="6" s="1"/>
  <c r="H110" i="6" s="1"/>
  <c r="W132" i="6"/>
  <c r="X132" i="6" s="1"/>
  <c r="H132" i="6" s="1"/>
  <c r="U90" i="6"/>
  <c r="W121" i="6"/>
  <c r="X121" i="6" s="1"/>
  <c r="H121" i="6" s="1"/>
  <c r="W104" i="6"/>
  <c r="X104" i="6" s="1"/>
  <c r="H104" i="6" s="1"/>
  <c r="W96" i="6"/>
  <c r="X96" i="6" s="1"/>
  <c r="H96" i="6" s="1"/>
  <c r="W90" i="6"/>
  <c r="X90" i="6" s="1"/>
  <c r="H90" i="6" s="1"/>
  <c r="W95" i="6"/>
  <c r="X95" i="6" s="1"/>
  <c r="H95" i="6" s="1"/>
  <c r="W98" i="6"/>
  <c r="X98" i="6" s="1"/>
  <c r="H98" i="6" s="1"/>
  <c r="W92" i="6"/>
  <c r="X92" i="6" s="1"/>
  <c r="H92" i="6" s="1"/>
  <c r="U113" i="6"/>
  <c r="U92" i="6"/>
  <c r="U128" i="6"/>
  <c r="U120" i="6"/>
  <c r="H120" i="6" s="1"/>
  <c r="U109" i="6"/>
  <c r="U106" i="6"/>
  <c r="H106" i="6" s="1"/>
  <c r="U95" i="6"/>
  <c r="U116" i="6"/>
  <c r="E13" i="7"/>
  <c r="H128" i="6"/>
  <c r="H134" i="6"/>
  <c r="AB125" i="6"/>
  <c r="AC125" i="6" s="1"/>
  <c r="AG125" i="6" s="1"/>
  <c r="AI125" i="6" s="1"/>
  <c r="I125" i="6" s="1"/>
  <c r="K130" i="6"/>
  <c r="L130" i="6" s="1"/>
  <c r="O125" i="6"/>
  <c r="AB129" i="6"/>
  <c r="AC129" i="6" s="1"/>
  <c r="AG129" i="6" s="1"/>
  <c r="AI129" i="6" s="1"/>
  <c r="I129" i="6" s="1"/>
  <c r="O129" i="6"/>
  <c r="G130" i="6"/>
  <c r="K126" i="6"/>
  <c r="L126" i="6" s="1"/>
  <c r="AB126" i="6"/>
  <c r="AC126" i="6" s="1"/>
  <c r="AG126" i="6" s="1"/>
  <c r="AI126" i="6" s="1"/>
  <c r="I126" i="6" s="1"/>
  <c r="O126" i="6"/>
  <c r="AB122" i="6"/>
  <c r="AC122" i="6" s="1"/>
  <c r="AG122" i="6" s="1"/>
  <c r="AI122" i="6" s="1"/>
  <c r="I122" i="6" s="1"/>
  <c r="O122" i="6"/>
  <c r="H109" i="6"/>
  <c r="H116" i="6"/>
  <c r="AB117" i="6"/>
  <c r="AC117" i="6" s="1"/>
  <c r="AG117" i="6" s="1"/>
  <c r="AI117" i="6" s="1"/>
  <c r="I117" i="6" s="1"/>
  <c r="O117" i="6"/>
  <c r="W117" i="6" s="1"/>
  <c r="X117" i="6" s="1"/>
  <c r="O118" i="6"/>
  <c r="AB118" i="6"/>
  <c r="AC118" i="6" s="1"/>
  <c r="AG118" i="6" s="1"/>
  <c r="AI118" i="6" s="1"/>
  <c r="I118" i="6" s="1"/>
  <c r="O114" i="6"/>
  <c r="W114" i="6" s="1"/>
  <c r="X114" i="6" s="1"/>
  <c r="AG102" i="6"/>
  <c r="AI102" i="6" s="1"/>
  <c r="I102" i="6" s="1"/>
  <c r="K102" i="6"/>
  <c r="L102" i="6" s="1"/>
  <c r="O102" i="6"/>
  <c r="U102" i="6" s="1"/>
  <c r="AG91" i="6"/>
  <c r="AI91" i="6" s="1"/>
  <c r="I91" i="6" s="1"/>
  <c r="AB100" i="6"/>
  <c r="AC100" i="6" s="1"/>
  <c r="AG100" i="6" s="1"/>
  <c r="AI100" i="6" s="1"/>
  <c r="I100" i="6" s="1"/>
  <c r="E17" i="7"/>
  <c r="E16" i="7"/>
  <c r="AG95" i="6"/>
  <c r="AI95" i="6" s="1"/>
  <c r="I95" i="6" s="1"/>
  <c r="K100" i="6"/>
  <c r="L100" i="6" s="1"/>
  <c r="O100" i="6"/>
  <c r="U100" i="6" s="1"/>
  <c r="K98" i="6"/>
  <c r="L98" i="6" s="1"/>
  <c r="AB98" i="6"/>
  <c r="AC98" i="6" s="1"/>
  <c r="AG98" i="6" s="1"/>
  <c r="AI98" i="6" s="1"/>
  <c r="I98" i="6" s="1"/>
  <c r="AG96" i="6"/>
  <c r="AI96" i="6" s="1"/>
  <c r="I96" i="6" s="1"/>
  <c r="AG90" i="6"/>
  <c r="AI90" i="6" s="1"/>
  <c r="I90" i="6" s="1"/>
  <c r="O94" i="6"/>
  <c r="W94" i="6" s="1"/>
  <c r="X94" i="6" s="1"/>
  <c r="AB94" i="6"/>
  <c r="AC94" i="6" s="1"/>
  <c r="AG94" i="6" s="1"/>
  <c r="AI94" i="6" s="1"/>
  <c r="I94" i="6" s="1"/>
  <c r="K96" i="6"/>
  <c r="L96" i="6" s="1"/>
  <c r="K95" i="6"/>
  <c r="L95" i="6" s="1"/>
  <c r="K94" i="6"/>
  <c r="L94" i="6" s="1"/>
  <c r="AG78" i="6"/>
  <c r="AI78" i="6" s="1"/>
  <c r="I78" i="6" s="1"/>
  <c r="K91" i="6"/>
  <c r="L91" i="6" s="1"/>
  <c r="K92" i="6"/>
  <c r="L92" i="6" s="1"/>
  <c r="K90" i="6"/>
  <c r="L90" i="6" s="1"/>
  <c r="AB92" i="6"/>
  <c r="AC92" i="6" s="1"/>
  <c r="AG92" i="6" s="1"/>
  <c r="AI92" i="6" s="1"/>
  <c r="I92" i="6" s="1"/>
  <c r="O91" i="6"/>
  <c r="U91" i="6" s="1"/>
  <c r="K78" i="6"/>
  <c r="L78" i="6" s="1"/>
  <c r="O78" i="6"/>
  <c r="U78" i="6" s="1"/>
  <c r="V9" i="9" l="1"/>
  <c r="W102" i="6"/>
  <c r="X102" i="6" s="1"/>
  <c r="H102" i="6" s="1"/>
  <c r="W78" i="6"/>
  <c r="X78" i="6" s="1"/>
  <c r="H78" i="6" s="1"/>
  <c r="W91" i="6"/>
  <c r="X91" i="6" s="1"/>
  <c r="H91" i="6" s="1"/>
  <c r="U118" i="6"/>
  <c r="W118" i="6"/>
  <c r="X118" i="6" s="1"/>
  <c r="H118" i="6" s="1"/>
  <c r="W100" i="6"/>
  <c r="X100" i="6" s="1"/>
  <c r="H100" i="6" s="1"/>
  <c r="U125" i="6"/>
  <c r="W125" i="6"/>
  <c r="X125" i="6" s="1"/>
  <c r="U122" i="6"/>
  <c r="W122" i="6"/>
  <c r="X122" i="6" s="1"/>
  <c r="H122" i="6" s="1"/>
  <c r="U129" i="6"/>
  <c r="W129" i="6"/>
  <c r="X129" i="6" s="1"/>
  <c r="H129" i="6" s="1"/>
  <c r="U126" i="6"/>
  <c r="W126" i="6"/>
  <c r="X126" i="6" s="1"/>
  <c r="H126" i="6" s="1"/>
  <c r="U117" i="6"/>
  <c r="H117" i="6" s="1"/>
  <c r="U94" i="6"/>
  <c r="H94" i="6" s="1"/>
  <c r="U114" i="6"/>
  <c r="O130" i="6"/>
  <c r="AB130" i="6"/>
  <c r="AC130" i="6" s="1"/>
  <c r="AG130" i="6" s="1"/>
  <c r="AI130" i="6" s="1"/>
  <c r="I130" i="6" s="1"/>
  <c r="H114" i="6"/>
  <c r="U130" i="6" l="1"/>
  <c r="W130" i="6"/>
  <c r="X130" i="6" s="1"/>
  <c r="H130" i="6" s="1"/>
  <c r="H125" i="6"/>
  <c r="R88" i="6"/>
  <c r="E88" i="6"/>
  <c r="O88" i="6" s="1"/>
  <c r="U88" i="6" s="1"/>
  <c r="E87" i="6"/>
  <c r="AB87" i="6" s="1"/>
  <c r="AC87" i="6" s="1"/>
  <c r="R87" i="6"/>
  <c r="AB86" i="6"/>
  <c r="AC86" i="6" s="1"/>
  <c r="R86" i="6"/>
  <c r="O86" i="6"/>
  <c r="U86" i="6" s="1"/>
  <c r="R77" i="6"/>
  <c r="E77" i="6"/>
  <c r="AB77" i="6" s="1"/>
  <c r="AC77" i="6" s="1"/>
  <c r="E76" i="6"/>
  <c r="R84" i="6"/>
  <c r="G84" i="6"/>
  <c r="AB84" i="6" s="1"/>
  <c r="AC84" i="6" s="1"/>
  <c r="G82" i="6"/>
  <c r="AB82" i="6" s="1"/>
  <c r="AC82" i="6" s="1"/>
  <c r="AG82" i="6" s="1"/>
  <c r="G81" i="6"/>
  <c r="O81" i="6" s="1"/>
  <c r="G80" i="6"/>
  <c r="AB80" i="6" s="1"/>
  <c r="AC80" i="6" s="1"/>
  <c r="R82" i="6"/>
  <c r="R81" i="6"/>
  <c r="R80" i="6"/>
  <c r="V82" i="6"/>
  <c r="J88" i="6"/>
  <c r="AH77" i="6"/>
  <c r="J82" i="6"/>
  <c r="AH80" i="6"/>
  <c r="AH84" i="6"/>
  <c r="AH87" i="6"/>
  <c r="J80" i="6"/>
  <c r="J84" i="6"/>
  <c r="V88" i="6"/>
  <c r="J87" i="6"/>
  <c r="AH86" i="6"/>
  <c r="J81" i="6"/>
  <c r="J86" i="6"/>
  <c r="V81" i="6"/>
  <c r="V86" i="6"/>
  <c r="AH88" i="6"/>
  <c r="V87" i="6"/>
  <c r="V80" i="6"/>
  <c r="V84" i="6"/>
  <c r="AH82" i="6"/>
  <c r="J77" i="6"/>
  <c r="AH81" i="6"/>
  <c r="V77" i="6"/>
  <c r="W86" i="6" l="1"/>
  <c r="X86" i="6" s="1"/>
  <c r="H86" i="6" s="1"/>
  <c r="W81" i="6"/>
  <c r="X81" i="6" s="1"/>
  <c r="H81" i="6" s="1"/>
  <c r="W88" i="6"/>
  <c r="X88" i="6" s="1"/>
  <c r="H88" i="6" s="1"/>
  <c r="U81" i="6"/>
  <c r="AG84" i="6"/>
  <c r="AI84" i="6" s="1"/>
  <c r="I84" i="6" s="1"/>
  <c r="AG87" i="6"/>
  <c r="AI87" i="6" s="1"/>
  <c r="I87" i="6" s="1"/>
  <c r="AG77" i="6"/>
  <c r="AI77" i="6" s="1"/>
  <c r="I77" i="6" s="1"/>
  <c r="AB88" i="6"/>
  <c r="AC88" i="6" s="1"/>
  <c r="AG88" i="6" s="1"/>
  <c r="AI88" i="6" s="1"/>
  <c r="I88" i="6" s="1"/>
  <c r="AG80" i="6"/>
  <c r="AI80" i="6" s="1"/>
  <c r="I80" i="6" s="1"/>
  <c r="AG86" i="6"/>
  <c r="AI86" i="6" s="1"/>
  <c r="I86" i="6" s="1"/>
  <c r="K88" i="6"/>
  <c r="L88" i="6" s="1"/>
  <c r="O87" i="6"/>
  <c r="W87" i="6" s="1"/>
  <c r="X87" i="6" s="1"/>
  <c r="K87" i="6"/>
  <c r="L87" i="6" s="1"/>
  <c r="K86" i="6"/>
  <c r="L86" i="6" s="1"/>
  <c r="K77" i="6"/>
  <c r="L77" i="6" s="1"/>
  <c r="O77" i="6"/>
  <c r="U77" i="6" s="1"/>
  <c r="K84" i="6"/>
  <c r="L84" i="6" s="1"/>
  <c r="O84" i="6"/>
  <c r="U84" i="6" s="1"/>
  <c r="K81" i="6"/>
  <c r="L81" i="6" s="1"/>
  <c r="K80" i="6"/>
  <c r="L80" i="6" s="1"/>
  <c r="K82" i="6"/>
  <c r="L82" i="6" s="1"/>
  <c r="AI82" i="6"/>
  <c r="I82" i="6" s="1"/>
  <c r="O82" i="6"/>
  <c r="U82" i="6" s="1"/>
  <c r="O80" i="6"/>
  <c r="U80" i="6" s="1"/>
  <c r="AB81" i="6"/>
  <c r="AC81" i="6" s="1"/>
  <c r="AG81" i="6" s="1"/>
  <c r="AI81" i="6" s="1"/>
  <c r="I81" i="6" s="1"/>
  <c r="R76" i="6"/>
  <c r="AB76" i="6"/>
  <c r="AC76" i="6" s="1"/>
  <c r="R74" i="6"/>
  <c r="F74" i="6"/>
  <c r="E74" i="6"/>
  <c r="R73" i="6"/>
  <c r="F73" i="6"/>
  <c r="E73" i="6"/>
  <c r="R72" i="6"/>
  <c r="F72" i="6"/>
  <c r="E72" i="6"/>
  <c r="F70" i="6"/>
  <c r="E70" i="6"/>
  <c r="O70" i="6" s="1"/>
  <c r="R70" i="6"/>
  <c r="AB68" i="6"/>
  <c r="AC68" i="6" s="1"/>
  <c r="R68" i="6"/>
  <c r="O68" i="6"/>
  <c r="V76" i="6"/>
  <c r="V68" i="6"/>
  <c r="AH70" i="6"/>
  <c r="AH68" i="6"/>
  <c r="AH76" i="6"/>
  <c r="J74" i="6"/>
  <c r="J68" i="6"/>
  <c r="V74" i="6"/>
  <c r="J70" i="6"/>
  <c r="AH72" i="6"/>
  <c r="J76" i="6"/>
  <c r="AH74" i="6"/>
  <c r="AH73" i="6"/>
  <c r="V72" i="6"/>
  <c r="J72" i="6"/>
  <c r="V73" i="6"/>
  <c r="V70" i="6"/>
  <c r="J73" i="6"/>
  <c r="U70" i="6" l="1"/>
  <c r="W84" i="6"/>
  <c r="X84" i="6" s="1"/>
  <c r="H84" i="6" s="1"/>
  <c r="W80" i="6"/>
  <c r="X80" i="6" s="1"/>
  <c r="H80" i="6" s="1"/>
  <c r="W82" i="6"/>
  <c r="X82" i="6" s="1"/>
  <c r="H82" i="6" s="1"/>
  <c r="W77" i="6"/>
  <c r="X77" i="6" s="1"/>
  <c r="H77" i="6" s="1"/>
  <c r="W68" i="6"/>
  <c r="X68" i="6" s="1"/>
  <c r="H68" i="6" s="1"/>
  <c r="W70" i="6"/>
  <c r="X70" i="6" s="1"/>
  <c r="H70" i="6" s="1"/>
  <c r="U68" i="6"/>
  <c r="U87" i="6"/>
  <c r="H87" i="6" s="1"/>
  <c r="AG76" i="6"/>
  <c r="AI76" i="6" s="1"/>
  <c r="I76" i="6" s="1"/>
  <c r="AB70" i="6"/>
  <c r="AC70" i="6" s="1"/>
  <c r="AG70" i="6" s="1"/>
  <c r="AI70" i="6" s="1"/>
  <c r="I70" i="6" s="1"/>
  <c r="K76" i="6"/>
  <c r="L76" i="6" s="1"/>
  <c r="O76" i="6"/>
  <c r="U76" i="6" s="1"/>
  <c r="AG68" i="6"/>
  <c r="AI68" i="6" s="1"/>
  <c r="I68" i="6" s="1"/>
  <c r="AB72" i="6"/>
  <c r="AC72" i="6" s="1"/>
  <c r="AG72" i="6" s="1"/>
  <c r="AI72" i="6" s="1"/>
  <c r="I72" i="6" s="1"/>
  <c r="AB73" i="6"/>
  <c r="AC73" i="6" s="1"/>
  <c r="AG73" i="6" s="1"/>
  <c r="AI73" i="6" s="1"/>
  <c r="I73" i="6" s="1"/>
  <c r="O74" i="6"/>
  <c r="W74" i="6" s="1"/>
  <c r="X74" i="6" s="1"/>
  <c r="K74" i="6"/>
  <c r="L74" i="6" s="1"/>
  <c r="K72" i="6"/>
  <c r="L72" i="6" s="1"/>
  <c r="K73" i="6"/>
  <c r="L73" i="6" s="1"/>
  <c r="O73" i="6"/>
  <c r="U73" i="6" s="1"/>
  <c r="O72" i="6"/>
  <c r="U72" i="6" s="1"/>
  <c r="AB74" i="6"/>
  <c r="AC74" i="6" s="1"/>
  <c r="AG74" i="6" s="1"/>
  <c r="AI74" i="6" s="1"/>
  <c r="I74" i="6" s="1"/>
  <c r="K70" i="6"/>
  <c r="L70" i="6" s="1"/>
  <c r="K68" i="6"/>
  <c r="L68" i="6" s="1"/>
  <c r="W73" i="6" l="1"/>
  <c r="X73" i="6" s="1"/>
  <c r="H73" i="6" s="1"/>
  <c r="W76" i="6"/>
  <c r="X76" i="6" s="1"/>
  <c r="H76" i="6" s="1"/>
  <c r="W72" i="6"/>
  <c r="X72" i="6" s="1"/>
  <c r="H72" i="6" s="1"/>
  <c r="U74" i="6"/>
  <c r="H74" i="6" s="1"/>
  <c r="R66" i="6"/>
  <c r="AB66" i="6"/>
  <c r="AC66" i="6" s="1"/>
  <c r="AG66" i="6" s="1"/>
  <c r="G64" i="6"/>
  <c r="AB64" i="6" s="1"/>
  <c r="AC64" i="6" s="1"/>
  <c r="R64" i="6"/>
  <c r="AH64" i="6"/>
  <c r="V66" i="6"/>
  <c r="V64" i="6"/>
  <c r="J64" i="6"/>
  <c r="AH66" i="6"/>
  <c r="J66" i="6"/>
  <c r="K66" i="6" l="1"/>
  <c r="L66" i="6" s="1"/>
  <c r="AI66" i="6"/>
  <c r="I66" i="6" s="1"/>
  <c r="O66" i="6"/>
  <c r="U66" i="6" s="1"/>
  <c r="AG64" i="6"/>
  <c r="AI64" i="6" s="1"/>
  <c r="I64" i="6" s="1"/>
  <c r="O64" i="6"/>
  <c r="W64" i="6" s="1"/>
  <c r="X64" i="6" s="1"/>
  <c r="K64" i="6"/>
  <c r="L64" i="6" s="1"/>
  <c r="W66" i="6" l="1"/>
  <c r="X66" i="6" s="1"/>
  <c r="H66" i="6" s="1"/>
  <c r="U64" i="6"/>
  <c r="H64" i="6" s="1"/>
  <c r="R62" i="6" l="1"/>
  <c r="AB62" i="6"/>
  <c r="AC62" i="6" s="1"/>
  <c r="F60" i="6"/>
  <c r="E60" i="6"/>
  <c r="R60" i="6"/>
  <c r="G58" i="6"/>
  <c r="AB58" i="6" s="1"/>
  <c r="AC58" i="6" s="1"/>
  <c r="G57" i="6"/>
  <c r="R58" i="6"/>
  <c r="AH60" i="6"/>
  <c r="V60" i="6"/>
  <c r="AH62" i="6"/>
  <c r="J62" i="6"/>
  <c r="J60" i="6"/>
  <c r="J58" i="6"/>
  <c r="AH58" i="6"/>
  <c r="V62" i="6"/>
  <c r="V58" i="6"/>
  <c r="AG62" i="6" l="1"/>
  <c r="AI62" i="6" s="1"/>
  <c r="I62" i="6" s="1"/>
  <c r="AG58" i="6"/>
  <c r="AI58" i="6" s="1"/>
  <c r="I58" i="6" s="1"/>
  <c r="O58" i="6"/>
  <c r="W58" i="6" s="1"/>
  <c r="X58" i="6" s="1"/>
  <c r="K62" i="6"/>
  <c r="L62" i="6" s="1"/>
  <c r="O62" i="6"/>
  <c r="U62" i="6" s="1"/>
  <c r="O60" i="6"/>
  <c r="W60" i="6" s="1"/>
  <c r="X60" i="6" s="1"/>
  <c r="K60" i="6"/>
  <c r="L60" i="6" s="1"/>
  <c r="AB60" i="6"/>
  <c r="AC60" i="6" s="1"/>
  <c r="AG60" i="6" s="1"/>
  <c r="AI60" i="6" s="1"/>
  <c r="I60" i="6" s="1"/>
  <c r="K58" i="6"/>
  <c r="L58" i="6" s="1"/>
  <c r="W62" i="6" l="1"/>
  <c r="X62" i="6" s="1"/>
  <c r="H62" i="6" s="1"/>
  <c r="U60" i="6"/>
  <c r="U58" i="6"/>
  <c r="H58" i="6" s="1"/>
  <c r="H60" i="6"/>
  <c r="AB57" i="6"/>
  <c r="AC57" i="6" s="1"/>
  <c r="R57" i="6"/>
  <c r="O57" i="6"/>
  <c r="U57" i="6" s="1"/>
  <c r="AB55" i="6"/>
  <c r="AC55" i="6" s="1"/>
  <c r="R55" i="6"/>
  <c r="O55" i="6"/>
  <c r="AB53" i="6"/>
  <c r="AC53" i="6" s="1"/>
  <c r="R53" i="6"/>
  <c r="O53" i="6"/>
  <c r="R51" i="6"/>
  <c r="A50" i="6"/>
  <c r="A51" i="6" s="1"/>
  <c r="AB49" i="6"/>
  <c r="AC49" i="6" s="1"/>
  <c r="R49" i="6"/>
  <c r="O49" i="6"/>
  <c r="G46" i="6"/>
  <c r="G47" i="6" s="1"/>
  <c r="F46" i="6"/>
  <c r="F47" i="6" s="1"/>
  <c r="E46" i="6"/>
  <c r="E47" i="6" s="1"/>
  <c r="D46" i="6"/>
  <c r="D47" i="6" s="1"/>
  <c r="R47" i="6" s="1"/>
  <c r="A46" i="6"/>
  <c r="A47" i="6" s="1"/>
  <c r="AB45" i="6"/>
  <c r="AC45" i="6" s="1"/>
  <c r="R45" i="6"/>
  <c r="O45" i="6"/>
  <c r="R19" i="6"/>
  <c r="B5" i="2"/>
  <c r="B31" i="2"/>
  <c r="AH46" i="6"/>
  <c r="AH55" i="6"/>
  <c r="V53" i="6"/>
  <c r="V47" i="6"/>
  <c r="V45" i="6"/>
  <c r="V50" i="6"/>
  <c r="V49" i="6"/>
  <c r="AH57" i="6"/>
  <c r="V55" i="6"/>
  <c r="J57" i="6"/>
  <c r="AH51" i="6"/>
  <c r="J47" i="6"/>
  <c r="V57" i="6"/>
  <c r="J46" i="6"/>
  <c r="AH47" i="6"/>
  <c r="J55" i="6"/>
  <c r="AH53" i="6"/>
  <c r="J45" i="6"/>
  <c r="J49" i="6"/>
  <c r="B32" i="2"/>
  <c r="AH50" i="6"/>
  <c r="AH45" i="6"/>
  <c r="V51" i="6"/>
  <c r="J51" i="6"/>
  <c r="J50" i="6"/>
  <c r="V46" i="6"/>
  <c r="J53" i="6"/>
  <c r="AH49" i="6"/>
  <c r="U53" i="6" l="1"/>
  <c r="U55" i="6"/>
  <c r="U45" i="6"/>
  <c r="W55" i="6"/>
  <c r="X55" i="6" s="1"/>
  <c r="W49" i="6"/>
  <c r="X49" i="6" s="1"/>
  <c r="W53" i="6"/>
  <c r="X53" i="6" s="1"/>
  <c r="H53" i="6" s="1"/>
  <c r="W45" i="6"/>
  <c r="X45" i="6" s="1"/>
  <c r="H45" i="6" s="1"/>
  <c r="W57" i="6"/>
  <c r="X57" i="6" s="1"/>
  <c r="H57" i="6" s="1"/>
  <c r="U49" i="6"/>
  <c r="AG57" i="6"/>
  <c r="AI57" i="6" s="1"/>
  <c r="I57" i="6" s="1"/>
  <c r="K57" i="6"/>
  <c r="L57" i="6" s="1"/>
  <c r="AG53" i="6"/>
  <c r="AI53" i="6" s="1"/>
  <c r="I53" i="6" s="1"/>
  <c r="AG55" i="6"/>
  <c r="AI55" i="6" s="1"/>
  <c r="I55" i="6" s="1"/>
  <c r="K55" i="6"/>
  <c r="L55" i="6" s="1"/>
  <c r="H55" i="6"/>
  <c r="AG49" i="6"/>
  <c r="AI49" i="6" s="1"/>
  <c r="I49" i="6" s="1"/>
  <c r="AG45" i="6"/>
  <c r="AI45" i="6" s="1"/>
  <c r="I45" i="6" s="1"/>
  <c r="K53" i="6"/>
  <c r="L53" i="6" s="1"/>
  <c r="O50" i="6"/>
  <c r="W50" i="6" s="1"/>
  <c r="X50" i="6" s="1"/>
  <c r="AB50" i="6"/>
  <c r="AC50" i="6" s="1"/>
  <c r="AG50" i="6" s="1"/>
  <c r="AI50" i="6" s="1"/>
  <c r="I50" i="6" s="1"/>
  <c r="K50" i="6"/>
  <c r="L50" i="6" s="1"/>
  <c r="K51" i="6"/>
  <c r="L51" i="6" s="1"/>
  <c r="K49" i="6"/>
  <c r="L49" i="6" s="1"/>
  <c r="R50" i="6"/>
  <c r="O47" i="6"/>
  <c r="W47" i="6" s="1"/>
  <c r="X47" i="6" s="1"/>
  <c r="AB46" i="6"/>
  <c r="AC46" i="6" s="1"/>
  <c r="AG46" i="6" s="1"/>
  <c r="AI46" i="6" s="1"/>
  <c r="I46" i="6" s="1"/>
  <c r="R46" i="6"/>
  <c r="K46" i="6"/>
  <c r="L46" i="6" s="1"/>
  <c r="K47" i="6"/>
  <c r="L47" i="6" s="1"/>
  <c r="K45" i="6"/>
  <c r="L45" i="6" s="1"/>
  <c r="O46" i="6"/>
  <c r="U46" i="6" s="1"/>
  <c r="AB47" i="6"/>
  <c r="AC47" i="6" s="1"/>
  <c r="AG47" i="6" s="1"/>
  <c r="AI47" i="6" s="1"/>
  <c r="I47" i="6" s="1"/>
  <c r="G42" i="6"/>
  <c r="F42" i="6"/>
  <c r="F43" i="6" s="1"/>
  <c r="E42" i="6"/>
  <c r="E43" i="6" s="1"/>
  <c r="D42" i="6"/>
  <c r="D43" i="6" s="1"/>
  <c r="R43" i="6" s="1"/>
  <c r="A42" i="6"/>
  <c r="A43" i="6" s="1"/>
  <c r="AB41" i="6"/>
  <c r="AC41" i="6" s="1"/>
  <c r="R41" i="6"/>
  <c r="O41" i="6"/>
  <c r="AH43" i="6"/>
  <c r="J42" i="6"/>
  <c r="V42" i="6"/>
  <c r="J41" i="6"/>
  <c r="AH42" i="6"/>
  <c r="J43" i="6"/>
  <c r="V41" i="6"/>
  <c r="AH41" i="6"/>
  <c r="V43" i="6"/>
  <c r="H49" i="6" l="1"/>
  <c r="W46" i="6"/>
  <c r="X46" i="6" s="1"/>
  <c r="H46" i="6" s="1"/>
  <c r="W41" i="6"/>
  <c r="X41" i="6" s="1"/>
  <c r="H41" i="6" s="1"/>
  <c r="U41" i="6"/>
  <c r="U50" i="6"/>
  <c r="U47" i="6"/>
  <c r="H47" i="6" s="1"/>
  <c r="AG41" i="6"/>
  <c r="AI41" i="6" s="1"/>
  <c r="I41" i="6" s="1"/>
  <c r="H50" i="6"/>
  <c r="O51" i="6"/>
  <c r="AB51" i="6"/>
  <c r="AC51" i="6" s="1"/>
  <c r="AG51" i="6" s="1"/>
  <c r="AI51" i="6" s="1"/>
  <c r="I51" i="6" s="1"/>
  <c r="R42" i="6"/>
  <c r="AB42" i="6"/>
  <c r="AC42" i="6" s="1"/>
  <c r="AG42" i="6" s="1"/>
  <c r="AI42" i="6" s="1"/>
  <c r="I42" i="6" s="1"/>
  <c r="K43" i="6"/>
  <c r="L43" i="6" s="1"/>
  <c r="K41" i="6"/>
  <c r="L41" i="6" s="1"/>
  <c r="K42" i="6"/>
  <c r="L42" i="6" s="1"/>
  <c r="O42" i="6"/>
  <c r="U42" i="6" s="1"/>
  <c r="G43" i="6"/>
  <c r="U51" i="6" l="1"/>
  <c r="W51" i="6"/>
  <c r="X51" i="6" s="1"/>
  <c r="H51" i="6" s="1"/>
  <c r="W42" i="6"/>
  <c r="X42" i="6" s="1"/>
  <c r="H42" i="6" s="1"/>
  <c r="AB43" i="6"/>
  <c r="AC43" i="6" s="1"/>
  <c r="AG43" i="6" s="1"/>
  <c r="AI43" i="6" s="1"/>
  <c r="I43" i="6" s="1"/>
  <c r="O43" i="6"/>
  <c r="U43" i="6" l="1"/>
  <c r="W43" i="6"/>
  <c r="X43" i="6" s="1"/>
  <c r="H43" i="6" s="1"/>
  <c r="G37" i="6" l="1"/>
  <c r="F37" i="6"/>
  <c r="F38" i="6" s="1"/>
  <c r="E37" i="6"/>
  <c r="E38" i="6" s="1"/>
  <c r="D37" i="6"/>
  <c r="D38" i="6" s="1"/>
  <c r="R38" i="6" s="1"/>
  <c r="A37" i="6"/>
  <c r="A38" i="6" s="1"/>
  <c r="AB36" i="6"/>
  <c r="AC36" i="6" s="1"/>
  <c r="R36" i="6"/>
  <c r="O36" i="6"/>
  <c r="U36" i="6" s="1"/>
  <c r="G31" i="6"/>
  <c r="AB31" i="6" s="1"/>
  <c r="AC31" i="6" s="1"/>
  <c r="F32" i="6"/>
  <c r="F33" i="6" s="1"/>
  <c r="E32" i="6"/>
  <c r="E33" i="6" s="1"/>
  <c r="D32" i="6"/>
  <c r="D33" i="6" s="1"/>
  <c r="R33" i="6" s="1"/>
  <c r="A32" i="6"/>
  <c r="A33" i="6" s="1"/>
  <c r="R31" i="6"/>
  <c r="F28" i="6"/>
  <c r="F29" i="6" s="1"/>
  <c r="E28" i="6"/>
  <c r="E29" i="6" s="1"/>
  <c r="D28" i="6"/>
  <c r="D29" i="6" s="1"/>
  <c r="R29" i="6" s="1"/>
  <c r="A28" i="6"/>
  <c r="A29" i="6" s="1"/>
  <c r="R27" i="6"/>
  <c r="G27" i="6"/>
  <c r="G28" i="6" s="1"/>
  <c r="F24" i="6"/>
  <c r="F25" i="6" s="1"/>
  <c r="E24" i="6"/>
  <c r="E25" i="6" s="1"/>
  <c r="D24" i="6"/>
  <c r="R24" i="6" s="1"/>
  <c r="A24" i="6"/>
  <c r="A25" i="6" s="1"/>
  <c r="R23" i="6"/>
  <c r="G23" i="6"/>
  <c r="AB23" i="6" s="1"/>
  <c r="AC23" i="6" s="1"/>
  <c r="G19" i="6"/>
  <c r="AB19" i="6" s="1"/>
  <c r="AC19" i="6" s="1"/>
  <c r="A20" i="6"/>
  <c r="A21" i="6" s="1"/>
  <c r="F20" i="6"/>
  <c r="F21" i="6" s="1"/>
  <c r="E20" i="6"/>
  <c r="E21" i="6" s="1"/>
  <c r="D20" i="6"/>
  <c r="D21" i="6" s="1"/>
  <c r="R21" i="6" s="1"/>
  <c r="F16" i="6"/>
  <c r="F17" i="6" s="1"/>
  <c r="E16" i="6"/>
  <c r="E17" i="6" s="1"/>
  <c r="D16" i="6"/>
  <c r="D17" i="6" s="1"/>
  <c r="R17" i="6" s="1"/>
  <c r="G12" i="6"/>
  <c r="G13" i="6" s="1"/>
  <c r="F12" i="6"/>
  <c r="F13" i="6" s="1"/>
  <c r="E12" i="6"/>
  <c r="E13" i="6" s="1"/>
  <c r="D12" i="6"/>
  <c r="R12" i="6" s="1"/>
  <c r="F8" i="6"/>
  <c r="F9" i="6" s="1"/>
  <c r="E8" i="6"/>
  <c r="E9" i="6" s="1"/>
  <c r="G15" i="6"/>
  <c r="AB15" i="6" s="1"/>
  <c r="AC15" i="6" s="1"/>
  <c r="D8" i="6"/>
  <c r="R8" i="6" s="1"/>
  <c r="G7" i="6"/>
  <c r="AB7" i="6" s="1"/>
  <c r="AC7" i="6" s="1"/>
  <c r="AG7" i="6" s="1"/>
  <c r="B10" i="2"/>
  <c r="B18" i="2"/>
  <c r="R15" i="6"/>
  <c r="AB11" i="6"/>
  <c r="AC11" i="6" s="1"/>
  <c r="R11" i="6"/>
  <c r="O11" i="6"/>
  <c r="R7" i="6"/>
  <c r="AI5" i="2"/>
  <c r="AG5" i="2"/>
  <c r="AH5" i="2" s="1"/>
  <c r="Z5" i="2"/>
  <c r="X5" i="2"/>
  <c r="B26" i="2"/>
  <c r="AH19" i="6"/>
  <c r="J13" i="6"/>
  <c r="V28" i="6"/>
  <c r="B37" i="2"/>
  <c r="V19" i="6"/>
  <c r="V36" i="6"/>
  <c r="J24" i="6"/>
  <c r="AH16" i="6"/>
  <c r="AH9" i="6"/>
  <c r="AH17" i="6"/>
  <c r="J33" i="6"/>
  <c r="V31" i="6"/>
  <c r="AH11" i="6"/>
  <c r="V17" i="6"/>
  <c r="AH38" i="6"/>
  <c r="J12" i="6"/>
  <c r="V33" i="6"/>
  <c r="V9" i="6"/>
  <c r="J38" i="6"/>
  <c r="AB5" i="2"/>
  <c r="AH12" i="6"/>
  <c r="J11" i="6"/>
  <c r="J23" i="6"/>
  <c r="AH29" i="6"/>
  <c r="AH21" i="6"/>
  <c r="H32" i="2"/>
  <c r="E32" i="2"/>
  <c r="J29" i="6"/>
  <c r="AH24" i="6"/>
  <c r="AH28" i="6"/>
  <c r="J31" i="6"/>
  <c r="V15" i="6"/>
  <c r="J15" i="6"/>
  <c r="AH25" i="6"/>
  <c r="AH23" i="6"/>
  <c r="V7" i="6"/>
  <c r="V11" i="6"/>
  <c r="AH36" i="6"/>
  <c r="J28" i="6"/>
  <c r="J8" i="6"/>
  <c r="V32" i="6"/>
  <c r="J37" i="6"/>
  <c r="V38" i="6"/>
  <c r="V21" i="6"/>
  <c r="J36" i="6"/>
  <c r="V27" i="6"/>
  <c r="AH27" i="6"/>
  <c r="V24" i="6"/>
  <c r="AK5" i="2"/>
  <c r="E37" i="2"/>
  <c r="V12" i="6"/>
  <c r="J20" i="6"/>
  <c r="AH31" i="6"/>
  <c r="AH13" i="6"/>
  <c r="J27" i="6"/>
  <c r="V37" i="6"/>
  <c r="V8" i="6"/>
  <c r="AH37" i="6"/>
  <c r="J32" i="6"/>
  <c r="J19" i="6"/>
  <c r="V23" i="6"/>
  <c r="J16" i="6"/>
  <c r="H37" i="2"/>
  <c r="AH15" i="6"/>
  <c r="V25" i="6"/>
  <c r="V16" i="6"/>
  <c r="V13" i="6"/>
  <c r="AH20" i="6"/>
  <c r="AH33" i="6"/>
  <c r="J9" i="6"/>
  <c r="J7" i="6"/>
  <c r="H31" i="2"/>
  <c r="V20" i="6"/>
  <c r="V29" i="6"/>
  <c r="E31" i="2"/>
  <c r="J21" i="6"/>
  <c r="J17" i="6"/>
  <c r="AH8" i="6"/>
  <c r="AH7" i="6"/>
  <c r="J25" i="6"/>
  <c r="AH32" i="6"/>
  <c r="W36" i="6" l="1"/>
  <c r="X36" i="6" s="1"/>
  <c r="H36" i="6" s="1"/>
  <c r="W11" i="6"/>
  <c r="X11" i="6" s="1"/>
  <c r="H11" i="6" s="1"/>
  <c r="U11" i="6"/>
  <c r="AG36" i="6"/>
  <c r="AI36" i="6" s="1"/>
  <c r="I36" i="6" s="1"/>
  <c r="AG31" i="6"/>
  <c r="O37" i="6"/>
  <c r="W37" i="6" s="1"/>
  <c r="R37" i="6"/>
  <c r="K36" i="6"/>
  <c r="L36" i="6" s="1"/>
  <c r="K38" i="6"/>
  <c r="L38" i="6" s="1"/>
  <c r="K37" i="6"/>
  <c r="L37" i="6" s="1"/>
  <c r="AB37" i="6"/>
  <c r="AC37" i="6" s="1"/>
  <c r="AG37" i="6" s="1"/>
  <c r="AI37" i="6" s="1"/>
  <c r="I37" i="6" s="1"/>
  <c r="G38" i="6"/>
  <c r="AA5" i="2"/>
  <c r="AC5" i="2" s="1"/>
  <c r="R5" i="2" s="1"/>
  <c r="AG23" i="6"/>
  <c r="AI23" i="6" s="1"/>
  <c r="I23" i="6" s="1"/>
  <c r="AG15" i="6"/>
  <c r="AI15" i="6" s="1"/>
  <c r="I15" i="6" s="1"/>
  <c r="AG11" i="6"/>
  <c r="AI11" i="6" s="1"/>
  <c r="I11" i="6" s="1"/>
  <c r="O7" i="6"/>
  <c r="W7" i="6" s="1"/>
  <c r="X7" i="6" s="1"/>
  <c r="K7" i="6"/>
  <c r="L7" i="6" s="1"/>
  <c r="K8" i="6"/>
  <c r="L8" i="6" s="1"/>
  <c r="K11" i="6"/>
  <c r="L11" i="6" s="1"/>
  <c r="K12" i="6"/>
  <c r="L12" i="6" s="1"/>
  <c r="K16" i="6"/>
  <c r="L16" i="6" s="1"/>
  <c r="K17" i="6"/>
  <c r="L17" i="6" s="1"/>
  <c r="K15" i="6"/>
  <c r="L15" i="6" s="1"/>
  <c r="K33" i="6"/>
  <c r="L33" i="6" s="1"/>
  <c r="K32" i="6"/>
  <c r="L32" i="6" s="1"/>
  <c r="K31" i="6"/>
  <c r="L31" i="6" s="1"/>
  <c r="K29" i="6"/>
  <c r="L29" i="6" s="1"/>
  <c r="K27" i="6"/>
  <c r="L27" i="6" s="1"/>
  <c r="K28" i="6"/>
  <c r="L28" i="6" s="1"/>
  <c r="K24" i="6"/>
  <c r="L24" i="6" s="1"/>
  <c r="K23" i="6"/>
  <c r="L23" i="6" s="1"/>
  <c r="AI31" i="6"/>
  <c r="I31" i="6" s="1"/>
  <c r="G32" i="6"/>
  <c r="O31" i="6"/>
  <c r="U31" i="6" s="1"/>
  <c r="R32" i="6"/>
  <c r="AB28" i="6"/>
  <c r="AC28" i="6" s="1"/>
  <c r="AG28" i="6" s="1"/>
  <c r="AI28" i="6" s="1"/>
  <c r="I28" i="6" s="1"/>
  <c r="O28" i="6"/>
  <c r="W28" i="6" s="1"/>
  <c r="G29" i="6"/>
  <c r="O27" i="6"/>
  <c r="U27" i="6" s="1"/>
  <c r="R28" i="6"/>
  <c r="AB27" i="6"/>
  <c r="AC27" i="6" s="1"/>
  <c r="AG27" i="6" s="1"/>
  <c r="AI27" i="6" s="1"/>
  <c r="I27" i="6" s="1"/>
  <c r="D25" i="6"/>
  <c r="R25" i="6" s="1"/>
  <c r="O23" i="6"/>
  <c r="U23" i="6" s="1"/>
  <c r="G24" i="6"/>
  <c r="G8" i="6"/>
  <c r="G9" i="6" s="1"/>
  <c r="AB9" i="6" s="1"/>
  <c r="R16" i="6"/>
  <c r="D9" i="6"/>
  <c r="R9" i="6" s="1"/>
  <c r="O15" i="6"/>
  <c r="W15" i="6" s="1"/>
  <c r="X15" i="6" s="1"/>
  <c r="G16" i="6"/>
  <c r="AB16" i="6" s="1"/>
  <c r="AC16" i="6" s="1"/>
  <c r="AG16" i="6" s="1"/>
  <c r="AI16" i="6" s="1"/>
  <c r="I16" i="6" s="1"/>
  <c r="R20" i="6"/>
  <c r="G20" i="6"/>
  <c r="AB13" i="6"/>
  <c r="O13" i="6"/>
  <c r="AB12" i="6"/>
  <c r="AC12" i="6" s="1"/>
  <c r="AG12" i="6" s="1"/>
  <c r="AI12" i="6" s="1"/>
  <c r="I12" i="6" s="1"/>
  <c r="O12" i="6"/>
  <c r="W12" i="6" s="1"/>
  <c r="X12" i="6" s="1"/>
  <c r="D13" i="6"/>
  <c r="R13" i="6" s="1"/>
  <c r="B11" i="2"/>
  <c r="B14" i="2" s="1"/>
  <c r="B21" i="2" s="1"/>
  <c r="AG19" i="6"/>
  <c r="AI19" i="6" s="1"/>
  <c r="I19" i="6" s="1"/>
  <c r="O19" i="6"/>
  <c r="W19" i="6" s="1"/>
  <c r="X19" i="6" s="1"/>
  <c r="K21" i="6"/>
  <c r="L21" i="6" s="1"/>
  <c r="K20" i="6"/>
  <c r="L20" i="6" s="1"/>
  <c r="K19" i="6"/>
  <c r="L19" i="6" s="1"/>
  <c r="AI7" i="6"/>
  <c r="I7" i="6" s="1"/>
  <c r="AJ5" i="2"/>
  <c r="AL5" i="2" s="1"/>
  <c r="S5" i="2" s="1"/>
  <c r="H38" i="2"/>
  <c r="E38" i="2"/>
  <c r="B38" i="2"/>
  <c r="W13" i="6" l="1"/>
  <c r="X13" i="6" s="1"/>
  <c r="X37" i="6"/>
  <c r="X28" i="6"/>
  <c r="H28" i="6" s="1"/>
  <c r="W23" i="6"/>
  <c r="X23" i="6" s="1"/>
  <c r="H23" i="6" s="1"/>
  <c r="W27" i="6"/>
  <c r="X27" i="6" s="1"/>
  <c r="H27" i="6" s="1"/>
  <c r="W31" i="6"/>
  <c r="X31" i="6" s="1"/>
  <c r="H31" i="6" s="1"/>
  <c r="U28" i="6"/>
  <c r="U12" i="6"/>
  <c r="H12" i="6" s="1"/>
  <c r="U7" i="6"/>
  <c r="H7" i="6" s="1"/>
  <c r="U37" i="6"/>
  <c r="U15" i="6"/>
  <c r="U13" i="6"/>
  <c r="U19" i="6"/>
  <c r="H19" i="6" s="1"/>
  <c r="H37" i="6"/>
  <c r="H15" i="6"/>
  <c r="AB38" i="6"/>
  <c r="AC38" i="6" s="1"/>
  <c r="AG38" i="6" s="1"/>
  <c r="AI38" i="6" s="1"/>
  <c r="I38" i="6" s="1"/>
  <c r="O38" i="6"/>
  <c r="O8" i="6"/>
  <c r="W8" i="6" s="1"/>
  <c r="X8" i="6" s="1"/>
  <c r="O9" i="6"/>
  <c r="K13" i="6"/>
  <c r="L13" i="6" s="1"/>
  <c r="K9" i="6"/>
  <c r="L9" i="6" s="1"/>
  <c r="AB8" i="6"/>
  <c r="AC8" i="6" s="1"/>
  <c r="AG8" i="6" s="1"/>
  <c r="AI8" i="6" s="1"/>
  <c r="I8" i="6" s="1"/>
  <c r="B13" i="2"/>
  <c r="B24" i="2" s="1"/>
  <c r="B27" i="2" s="1"/>
  <c r="H35" i="2" s="1"/>
  <c r="K25" i="6"/>
  <c r="L25" i="6" s="1"/>
  <c r="AC9" i="6"/>
  <c r="AG9" i="6" s="1"/>
  <c r="AI9" i="6" s="1"/>
  <c r="I9" i="6" s="1"/>
  <c r="AB32" i="6"/>
  <c r="AC32" i="6" s="1"/>
  <c r="AG32" i="6" s="1"/>
  <c r="G33" i="6"/>
  <c r="O32" i="6"/>
  <c r="AB29" i="6"/>
  <c r="AC29" i="6" s="1"/>
  <c r="AG29" i="6" s="1"/>
  <c r="AI29" i="6" s="1"/>
  <c r="I29" i="6" s="1"/>
  <c r="O29" i="6"/>
  <c r="AC13" i="6"/>
  <c r="AG13" i="6" s="1"/>
  <c r="AI13" i="6" s="1"/>
  <c r="I13" i="6" s="1"/>
  <c r="AB24" i="6"/>
  <c r="AC24" i="6" s="1"/>
  <c r="AG24" i="6" s="1"/>
  <c r="AI24" i="6" s="1"/>
  <c r="I24" i="6" s="1"/>
  <c r="O24" i="6"/>
  <c r="G25" i="6"/>
  <c r="G17" i="6"/>
  <c r="O16" i="6"/>
  <c r="G21" i="6"/>
  <c r="AB20" i="6"/>
  <c r="AC20" i="6" s="1"/>
  <c r="AG20" i="6" s="1"/>
  <c r="AI20" i="6" s="1"/>
  <c r="I20" i="6" s="1"/>
  <c r="O20" i="6"/>
  <c r="B34" i="2"/>
  <c r="H13" i="6" l="1"/>
  <c r="U24" i="6"/>
  <c r="W24" i="6"/>
  <c r="X24" i="6" s="1"/>
  <c r="H24" i="6" s="1"/>
  <c r="U16" i="6"/>
  <c r="W16" i="6"/>
  <c r="X16" i="6" s="1"/>
  <c r="H16" i="6" s="1"/>
  <c r="U9" i="6"/>
  <c r="W9" i="6"/>
  <c r="X9" i="6" s="1"/>
  <c r="U38" i="6"/>
  <c r="W38" i="6"/>
  <c r="X38" i="6" s="1"/>
  <c r="H38" i="6" s="1"/>
  <c r="U32" i="6"/>
  <c r="W32" i="6"/>
  <c r="X32" i="6" s="1"/>
  <c r="H32" i="6" s="1"/>
  <c r="U29" i="6"/>
  <c r="W29" i="6"/>
  <c r="X29" i="6" s="1"/>
  <c r="H29" i="6" s="1"/>
  <c r="U20" i="6"/>
  <c r="W20" i="6"/>
  <c r="X20" i="6" s="1"/>
  <c r="H20" i="6" s="1"/>
  <c r="U8" i="6"/>
  <c r="H8" i="6" s="1"/>
  <c r="E35" i="2"/>
  <c r="B35" i="2"/>
  <c r="AI32" i="6"/>
  <c r="I32" i="6" s="1"/>
  <c r="AB33" i="6"/>
  <c r="AC33" i="6" s="1"/>
  <c r="AG33" i="6" s="1"/>
  <c r="AI33" i="6" s="1"/>
  <c r="I33" i="6" s="1"/>
  <c r="O33" i="6"/>
  <c r="AB25" i="6"/>
  <c r="AC25" i="6" s="1"/>
  <c r="AG25" i="6" s="1"/>
  <c r="AI25" i="6" s="1"/>
  <c r="I25" i="6" s="1"/>
  <c r="O25" i="6"/>
  <c r="AB17" i="6"/>
  <c r="AC17" i="6" s="1"/>
  <c r="AG17" i="6" s="1"/>
  <c r="AI17" i="6" s="1"/>
  <c r="I17" i="6" s="1"/>
  <c r="O17" i="6"/>
  <c r="AB21" i="6"/>
  <c r="AC21" i="6" s="1"/>
  <c r="AG21" i="6" s="1"/>
  <c r="AI21" i="6" s="1"/>
  <c r="I21" i="6" s="1"/>
  <c r="O21" i="6"/>
  <c r="H34" i="2"/>
  <c r="E34" i="2"/>
  <c r="U21" i="6" l="1"/>
  <c r="W21" i="6"/>
  <c r="X21" i="6" s="1"/>
  <c r="H21" i="6" s="1"/>
  <c r="U25" i="6"/>
  <c r="W25" i="6"/>
  <c r="X25" i="6" s="1"/>
  <c r="H25" i="6" s="1"/>
  <c r="H9" i="6"/>
  <c r="U17" i="6"/>
  <c r="W17" i="6"/>
  <c r="X17" i="6" s="1"/>
  <c r="H17" i="6" s="1"/>
  <c r="U33" i="6"/>
  <c r="W33" i="6"/>
  <c r="X33" i="6" s="1"/>
  <c r="H33" i="6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<sst xmlns="http://schemas.openxmlformats.org/spreadsheetml/2006/main" count="1380" uniqueCount="332">
  <si>
    <t>Copy to Clipboard</t>
  </si>
  <si>
    <r>
      <t>Design properties of HEA profiles for S355 steel class (</t>
    </r>
    <r>
      <rPr>
        <b/>
        <i/>
        <sz val="12.85"/>
        <color rgb="FF222222"/>
        <rFont val="Open Sans"/>
        <family val="2"/>
      </rPr>
      <t>γ</t>
    </r>
    <r>
      <rPr>
        <b/>
        <vertAlign val="subscript"/>
        <sz val="9"/>
        <color rgb="FF222222"/>
        <rFont val="Open Sans"/>
        <family val="2"/>
      </rPr>
      <t>M0</t>
    </r>
    <r>
      <rPr>
        <b/>
        <sz val="12.85"/>
        <color rgb="FF222222"/>
        <rFont val="Open Sans"/>
        <family val="2"/>
      </rPr>
      <t> = 1.00, units = mm)</t>
    </r>
  </si>
  <si>
    <t>Profile dimensions</t>
  </si>
  <si>
    <t>Area properties</t>
  </si>
  <si>
    <t>Inertia properties about major axis y-y</t>
  </si>
  <si>
    <t>Inertia properties about minor axis z-z</t>
  </si>
  <si>
    <t>Torsional &amp; warping properties</t>
  </si>
  <si>
    <t>Axial force &amp; shear resistance</t>
  </si>
  <si>
    <t>Bending major axis y-y</t>
  </si>
  <si>
    <t>Bending minor axis z-z</t>
  </si>
  <si>
    <t>Buckling curve</t>
  </si>
  <si>
    <t>Section classification</t>
  </si>
  <si>
    <t>Profile</t>
  </si>
  <si>
    <t>Drawing</t>
  </si>
  <si>
    <t>Depth</t>
  </si>
  <si>
    <t>h</t>
  </si>
  <si>
    <t>[mm]</t>
  </si>
  <si>
    <t>Width</t>
  </si>
  <si>
    <t>b</t>
  </si>
  <si>
    <t>Web thickness</t>
  </si>
  <si>
    <r>
      <t>t</t>
    </r>
    <r>
      <rPr>
        <b/>
        <vertAlign val="subscript"/>
        <sz val="8"/>
        <color theme="1"/>
        <rFont val="Open Sans"/>
        <family val="2"/>
      </rPr>
      <t>w</t>
    </r>
  </si>
  <si>
    <t>Flange thickness</t>
  </si>
  <si>
    <r>
      <t>t</t>
    </r>
    <r>
      <rPr>
        <b/>
        <vertAlign val="subscript"/>
        <sz val="8"/>
        <color theme="1"/>
        <rFont val="Open Sans"/>
        <family val="2"/>
      </rPr>
      <t>f</t>
    </r>
  </si>
  <si>
    <t>Root radius</t>
  </si>
  <si>
    <t>r</t>
  </si>
  <si>
    <t>Weight</t>
  </si>
  <si>
    <t>m</t>
  </si>
  <si>
    <t>[kg/m]</t>
  </si>
  <si>
    <t>Perimeter</t>
  </si>
  <si>
    <t>P</t>
  </si>
  <si>
    <t>[m]</t>
  </si>
  <si>
    <t>Area</t>
  </si>
  <si>
    <t>A</t>
  </si>
  <si>
    <r>
      <t>[mm</t>
    </r>
    <r>
      <rPr>
        <b/>
        <vertAlign val="superscript"/>
        <sz val="8"/>
        <color theme="1"/>
        <rFont val="Open Sans"/>
        <family val="2"/>
      </rPr>
      <t>2</t>
    </r>
    <r>
      <rPr>
        <b/>
        <sz val="11"/>
        <color theme="1"/>
        <rFont val="Open Sans"/>
        <family val="2"/>
      </rPr>
      <t>]</t>
    </r>
  </si>
  <si>
    <t>Shear area z-z</t>
  </si>
  <si>
    <r>
      <t>A</t>
    </r>
    <r>
      <rPr>
        <b/>
        <vertAlign val="subscript"/>
        <sz val="8"/>
        <color theme="1"/>
        <rFont val="Open Sans"/>
        <family val="2"/>
      </rPr>
      <t>v,z</t>
    </r>
  </si>
  <si>
    <t>(for η=1.2)</t>
  </si>
  <si>
    <t>Shear area y-y</t>
  </si>
  <si>
    <r>
      <t>A</t>
    </r>
    <r>
      <rPr>
        <b/>
        <vertAlign val="subscript"/>
        <sz val="8"/>
        <color theme="1"/>
        <rFont val="Open Sans"/>
        <family val="2"/>
      </rPr>
      <t>v,y</t>
    </r>
  </si>
  <si>
    <t>Second moment of area</t>
  </si>
  <si>
    <r>
      <t>I</t>
    </r>
    <r>
      <rPr>
        <b/>
        <vertAlign val="subscript"/>
        <sz val="8"/>
        <color theme="1"/>
        <rFont val="Open Sans"/>
        <family val="2"/>
      </rPr>
      <t>y</t>
    </r>
  </si>
  <si>
    <r>
      <t>[×10</t>
    </r>
    <r>
      <rPr>
        <b/>
        <vertAlign val="superscript"/>
        <sz val="8"/>
        <color theme="1"/>
        <rFont val="Open Sans"/>
        <family val="2"/>
      </rPr>
      <t>6</t>
    </r>
    <r>
      <rPr>
        <b/>
        <sz val="11"/>
        <color theme="1"/>
        <rFont val="Open Sans"/>
        <family val="2"/>
      </rPr>
      <t> mm</t>
    </r>
    <r>
      <rPr>
        <b/>
        <vertAlign val="superscript"/>
        <sz val="8"/>
        <color theme="1"/>
        <rFont val="Open Sans"/>
        <family val="2"/>
      </rPr>
      <t>4</t>
    </r>
    <r>
      <rPr>
        <b/>
        <sz val="11"/>
        <color theme="1"/>
        <rFont val="Open Sans"/>
        <family val="2"/>
      </rPr>
      <t>]</t>
    </r>
  </si>
  <si>
    <t>Radius of gyration</t>
  </si>
  <si>
    <r>
      <t>i</t>
    </r>
    <r>
      <rPr>
        <b/>
        <vertAlign val="subscript"/>
        <sz val="8"/>
        <color theme="1"/>
        <rFont val="Open Sans"/>
        <family val="2"/>
      </rPr>
      <t>y</t>
    </r>
  </si>
  <si>
    <t>Elastic section modulus</t>
  </si>
  <si>
    <r>
      <t>W</t>
    </r>
    <r>
      <rPr>
        <b/>
        <vertAlign val="subscript"/>
        <sz val="8"/>
        <color theme="1"/>
        <rFont val="Open Sans"/>
        <family val="2"/>
      </rPr>
      <t>el,y</t>
    </r>
  </si>
  <si>
    <r>
      <t>[×10</t>
    </r>
    <r>
      <rPr>
        <b/>
        <vertAlign val="superscript"/>
        <sz val="8"/>
        <color theme="1"/>
        <rFont val="Open Sans"/>
        <family val="2"/>
      </rPr>
      <t>3</t>
    </r>
    <r>
      <rPr>
        <b/>
        <sz val="11"/>
        <color theme="1"/>
        <rFont val="Open Sans"/>
        <family val="2"/>
      </rPr>
      <t> mm</t>
    </r>
    <r>
      <rPr>
        <b/>
        <vertAlign val="superscript"/>
        <sz val="8"/>
        <color theme="1"/>
        <rFont val="Open Sans"/>
        <family val="2"/>
      </rPr>
      <t>3</t>
    </r>
    <r>
      <rPr>
        <b/>
        <sz val="11"/>
        <color theme="1"/>
        <rFont val="Open Sans"/>
        <family val="2"/>
      </rPr>
      <t>]</t>
    </r>
  </si>
  <si>
    <t>Plastic section modulus</t>
  </si>
  <si>
    <r>
      <t>W</t>
    </r>
    <r>
      <rPr>
        <b/>
        <vertAlign val="subscript"/>
        <sz val="8"/>
        <color theme="1"/>
        <rFont val="Open Sans"/>
        <family val="2"/>
      </rPr>
      <t>pl,y</t>
    </r>
  </si>
  <si>
    <r>
      <t>I</t>
    </r>
    <r>
      <rPr>
        <b/>
        <vertAlign val="subscript"/>
        <sz val="8"/>
        <color theme="1"/>
        <rFont val="Open Sans"/>
        <family val="2"/>
      </rPr>
      <t>z</t>
    </r>
  </si>
  <si>
    <r>
      <t>i</t>
    </r>
    <r>
      <rPr>
        <b/>
        <vertAlign val="subscript"/>
        <sz val="8"/>
        <color theme="1"/>
        <rFont val="Open Sans"/>
        <family val="2"/>
      </rPr>
      <t>z</t>
    </r>
  </si>
  <si>
    <r>
      <t>W</t>
    </r>
    <r>
      <rPr>
        <b/>
        <vertAlign val="subscript"/>
        <sz val="8"/>
        <color theme="1"/>
        <rFont val="Open Sans"/>
        <family val="2"/>
      </rPr>
      <t>el,z</t>
    </r>
  </si>
  <si>
    <r>
      <t>W</t>
    </r>
    <r>
      <rPr>
        <b/>
        <vertAlign val="subscript"/>
        <sz val="8"/>
        <color theme="1"/>
        <rFont val="Open Sans"/>
        <family val="2"/>
      </rPr>
      <t>pl,z</t>
    </r>
  </si>
  <si>
    <t>Torsion constant</t>
  </si>
  <si>
    <r>
      <t>I</t>
    </r>
    <r>
      <rPr>
        <b/>
        <vertAlign val="subscript"/>
        <sz val="8"/>
        <color theme="1"/>
        <rFont val="Open Sans"/>
        <family val="2"/>
      </rPr>
      <t>T</t>
    </r>
  </si>
  <si>
    <r>
      <t>[×10</t>
    </r>
    <r>
      <rPr>
        <b/>
        <vertAlign val="superscript"/>
        <sz val="8"/>
        <color theme="1"/>
        <rFont val="Open Sans"/>
        <family val="2"/>
      </rPr>
      <t>3</t>
    </r>
    <r>
      <rPr>
        <b/>
        <sz val="11"/>
        <color theme="1"/>
        <rFont val="Open Sans"/>
        <family val="2"/>
      </rPr>
      <t> mm</t>
    </r>
    <r>
      <rPr>
        <b/>
        <vertAlign val="superscript"/>
        <sz val="8"/>
        <color theme="1"/>
        <rFont val="Open Sans"/>
        <family val="2"/>
      </rPr>
      <t>4</t>
    </r>
    <r>
      <rPr>
        <b/>
        <sz val="11"/>
        <color theme="1"/>
        <rFont val="Open Sans"/>
        <family val="2"/>
      </rPr>
      <t>]</t>
    </r>
  </si>
  <si>
    <t>Torsion modulus</t>
  </si>
  <si>
    <r>
      <t>W</t>
    </r>
    <r>
      <rPr>
        <b/>
        <vertAlign val="subscript"/>
        <sz val="8"/>
        <color theme="1"/>
        <rFont val="Open Sans"/>
        <family val="2"/>
      </rPr>
      <t>T</t>
    </r>
  </si>
  <si>
    <t>Warping constant</t>
  </si>
  <si>
    <r>
      <t>I</t>
    </r>
    <r>
      <rPr>
        <b/>
        <vertAlign val="subscript"/>
        <sz val="8"/>
        <color theme="1"/>
        <rFont val="Open Sans"/>
        <family val="2"/>
      </rPr>
      <t>w</t>
    </r>
  </si>
  <si>
    <r>
      <t>[×10</t>
    </r>
    <r>
      <rPr>
        <b/>
        <vertAlign val="superscript"/>
        <sz val="8"/>
        <color theme="1"/>
        <rFont val="Open Sans"/>
        <family val="2"/>
      </rPr>
      <t>6</t>
    </r>
    <r>
      <rPr>
        <b/>
        <sz val="11"/>
        <color theme="1"/>
        <rFont val="Open Sans"/>
        <family val="2"/>
      </rPr>
      <t> mm</t>
    </r>
    <r>
      <rPr>
        <b/>
        <vertAlign val="superscript"/>
        <sz val="8"/>
        <color theme="1"/>
        <rFont val="Open Sans"/>
        <family val="2"/>
      </rPr>
      <t>6</t>
    </r>
    <r>
      <rPr>
        <b/>
        <sz val="11"/>
        <color theme="1"/>
        <rFont val="Open Sans"/>
        <family val="2"/>
      </rPr>
      <t>]</t>
    </r>
  </si>
  <si>
    <t>Warping modulus</t>
  </si>
  <si>
    <r>
      <t>W</t>
    </r>
    <r>
      <rPr>
        <b/>
        <vertAlign val="subscript"/>
        <sz val="8"/>
        <color theme="1"/>
        <rFont val="Open Sans"/>
        <family val="2"/>
      </rPr>
      <t>w</t>
    </r>
  </si>
  <si>
    <t>Design plastic axial force resistance</t>
  </si>
  <si>
    <r>
      <t>N</t>
    </r>
    <r>
      <rPr>
        <b/>
        <vertAlign val="subscript"/>
        <sz val="8"/>
        <color theme="1"/>
        <rFont val="Open Sans"/>
        <family val="2"/>
      </rPr>
      <t>pl,Rd</t>
    </r>
  </si>
  <si>
    <t>[kN]</t>
  </si>
  <si>
    <t>Design plastic shear force resistance z-z</t>
  </si>
  <si>
    <r>
      <t>V</t>
    </r>
    <r>
      <rPr>
        <b/>
        <vertAlign val="subscript"/>
        <sz val="8"/>
        <color theme="1"/>
        <rFont val="Open Sans"/>
        <family val="2"/>
      </rPr>
      <t>pl,Rd,z</t>
    </r>
  </si>
  <si>
    <t>Design plastic shear force resistance y-y</t>
  </si>
  <si>
    <r>
      <t>V</t>
    </r>
    <r>
      <rPr>
        <b/>
        <vertAlign val="subscript"/>
        <sz val="8"/>
        <color theme="1"/>
        <rFont val="Open Sans"/>
        <family val="2"/>
      </rPr>
      <t>pl,Rd,y</t>
    </r>
  </si>
  <si>
    <t>Design elastic bending moment resistance</t>
  </si>
  <si>
    <r>
      <t>M</t>
    </r>
    <r>
      <rPr>
        <b/>
        <vertAlign val="subscript"/>
        <sz val="8"/>
        <color theme="1"/>
        <rFont val="Open Sans"/>
        <family val="2"/>
      </rPr>
      <t>el,Rd,y</t>
    </r>
  </si>
  <si>
    <t>[kNm]</t>
  </si>
  <si>
    <t>Design plastic bending moment resistance</t>
  </si>
  <si>
    <r>
      <t>M</t>
    </r>
    <r>
      <rPr>
        <b/>
        <vertAlign val="subscript"/>
        <sz val="8"/>
        <color theme="1"/>
        <rFont val="Open Sans"/>
        <family val="2"/>
      </rPr>
      <t>pl,Rd,y</t>
    </r>
  </si>
  <si>
    <r>
      <t>M</t>
    </r>
    <r>
      <rPr>
        <b/>
        <vertAlign val="subscript"/>
        <sz val="8"/>
        <color theme="1"/>
        <rFont val="Open Sans"/>
        <family val="2"/>
      </rPr>
      <t>el,Rd,z</t>
    </r>
  </si>
  <si>
    <r>
      <t>M</t>
    </r>
    <r>
      <rPr>
        <b/>
        <vertAlign val="subscript"/>
        <sz val="8"/>
        <color theme="1"/>
        <rFont val="Open Sans"/>
        <family val="2"/>
      </rPr>
      <t>pl,Rd,z</t>
    </r>
  </si>
  <si>
    <t>Buckling about major axis y-y</t>
  </si>
  <si>
    <t>Buckling about minor axis z-z</t>
  </si>
  <si>
    <t>Web in pure bending about major axis y-y</t>
  </si>
  <si>
    <t>Web in pure uniform compression</t>
  </si>
  <si>
    <t>Flanges in uniform compression due to axial force or bending moment</t>
  </si>
  <si>
    <t>HEA100</t>
  </si>
  <si>
    <t>dxf</t>
  </si>
  <si>
    <t>c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</si>
  <si>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</si>
  <si>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</si>
  <si>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</si>
  <si>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</si>
  <si>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</si>
  <si>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</si>
  <si>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</si>
  <si>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</si>
  <si>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</si>
  <si>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</si>
  <si>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</si>
  <si>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</si>
  <si>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</si>
  <si>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</si>
  <si>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a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</si>
  <si>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</si>
  <si>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</si>
  <si>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</si>
  <si>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</si>
  <si>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</si>
  <si>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</si>
  <si>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</si>
  <si>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</si>
  <si>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</si>
  <si>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tw</t>
  </si>
  <si>
    <t>tf</t>
  </si>
  <si>
    <t>Av,z</t>
  </si>
  <si>
    <t>Av,y</t>
  </si>
  <si>
    <t>Iy</t>
  </si>
  <si>
    <t>b_last</t>
  </si>
  <si>
    <t>g</t>
  </si>
  <si>
    <t>kPa</t>
  </si>
  <si>
    <t>s</t>
  </si>
  <si>
    <t>L_bjelke</t>
  </si>
  <si>
    <t>G</t>
  </si>
  <si>
    <t>S</t>
  </si>
  <si>
    <t>kN/m</t>
  </si>
  <si>
    <t>qULS</t>
  </si>
  <si>
    <t>qSLS</t>
  </si>
  <si>
    <t>L/u max</t>
  </si>
  <si>
    <t>umax</t>
  </si>
  <si>
    <t>mm</t>
  </si>
  <si>
    <t>SLS</t>
  </si>
  <si>
    <t>Foreslått profil</t>
  </si>
  <si>
    <t>*10^6mm4</t>
  </si>
  <si>
    <t>HEA</t>
  </si>
  <si>
    <t>Inødv SLS</t>
  </si>
  <si>
    <t>ULS</t>
  </si>
  <si>
    <t>MEd</t>
  </si>
  <si>
    <t>kNm</t>
  </si>
  <si>
    <t>fyk</t>
  </si>
  <si>
    <t>fyd</t>
  </si>
  <si>
    <t>Wnødv</t>
  </si>
  <si>
    <t>*10^3 mm^3</t>
  </si>
  <si>
    <t>Inødv/Iy</t>
  </si>
  <si>
    <t>Wnødv/Wel,y</t>
  </si>
  <si>
    <t>Wel,y</t>
  </si>
  <si>
    <t>*10^3mm3</t>
  </si>
  <si>
    <t>INPUT</t>
  </si>
  <si>
    <t>BEREGNET</t>
  </si>
  <si>
    <r>
      <t>Design properties of HEB profiles for S355 steel class (</t>
    </r>
    <r>
      <rPr>
        <b/>
        <i/>
        <sz val="12.85"/>
        <color rgb="FF222222"/>
        <rFont val="Open Sans"/>
        <family val="2"/>
      </rPr>
      <t>γ</t>
    </r>
    <r>
      <rPr>
        <b/>
        <vertAlign val="subscript"/>
        <sz val="9"/>
        <color rgb="FF222222"/>
        <rFont val="Open Sans"/>
        <family val="2"/>
      </rPr>
      <t>M0</t>
    </r>
    <r>
      <rPr>
        <b/>
        <sz val="12.85"/>
        <color rgb="FF222222"/>
        <rFont val="Open Sans"/>
        <family val="2"/>
      </rPr>
      <t> = 1.00, units = mm)</t>
    </r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</si>
  <si>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</si>
  <si>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</si>
  <si>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</si>
  <si>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</si>
  <si>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</si>
  <si>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</si>
  <si>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</si>
  <si>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</si>
  <si>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</si>
  <si>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</si>
  <si>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</si>
  <si>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</si>
  <si>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</si>
  <si>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</si>
  <si>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</si>
  <si>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</si>
  <si>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</si>
  <si>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</si>
  <si>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</si>
  <si>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</si>
  <si>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</si>
  <si>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</si>
  <si>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</si>
  <si>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</si>
  <si>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HEB</t>
  </si>
  <si>
    <t>Profiltype</t>
  </si>
  <si>
    <t>Column1</t>
  </si>
  <si>
    <t>iy2</t>
  </si>
  <si>
    <t>iz3</t>
  </si>
  <si>
    <t>Column4</t>
  </si>
  <si>
    <t>Column5</t>
  </si>
  <si>
    <t>Column6</t>
  </si>
  <si>
    <t>Column7</t>
  </si>
  <si>
    <t>Column8</t>
  </si>
  <si>
    <t>kg</t>
  </si>
  <si>
    <t>Bjelkevekt</t>
  </si>
  <si>
    <t>kg/m</t>
  </si>
  <si>
    <r>
      <t>Design properties of IPE profiles for S355 steel class (</t>
    </r>
    <r>
      <rPr>
        <b/>
        <i/>
        <sz val="12.85"/>
        <color rgb="FF222222"/>
        <rFont val="Open Sans"/>
        <family val="2"/>
      </rPr>
      <t>γ</t>
    </r>
    <r>
      <rPr>
        <b/>
        <vertAlign val="subscript"/>
        <sz val="9"/>
        <color rgb="FF222222"/>
        <rFont val="Open Sans"/>
        <family val="2"/>
      </rPr>
      <t>M0</t>
    </r>
    <r>
      <rPr>
        <b/>
        <sz val="12.85"/>
        <color rgb="FF222222"/>
        <rFont val="Open Sans"/>
        <family val="2"/>
      </rPr>
      <t> = 1.00, units = mm)</t>
    </r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</si>
  <si>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</si>
  <si>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</si>
  <si>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</si>
  <si>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</si>
  <si>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</si>
  <si>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</si>
  <si>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</si>
  <si>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</si>
  <si>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</si>
  <si>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</si>
  <si>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</si>
  <si>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</si>
  <si>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</si>
  <si>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</si>
  <si>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</si>
  <si>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</si>
  <si>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</si>
  <si>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</si>
  <si>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IPE</t>
  </si>
  <si>
    <t>γ_ULS</t>
  </si>
  <si>
    <t>γ_SLS</t>
  </si>
  <si>
    <t>B1</t>
  </si>
  <si>
    <t>ID</t>
  </si>
  <si>
    <t>I,nødv SLS</t>
  </si>
  <si>
    <t>γG_SLS</t>
  </si>
  <si>
    <t>γQ_SLS</t>
  </si>
  <si>
    <t>Med</t>
  </si>
  <si>
    <t>γG_ULS</t>
  </si>
  <si>
    <t>γQ_ULS</t>
  </si>
  <si>
    <t>Iy/Inødv</t>
  </si>
  <si>
    <t>W,el</t>
  </si>
  <si>
    <t>W,nødv/W,el</t>
  </si>
  <si>
    <t>Utn. ULS</t>
  </si>
  <si>
    <t>Utn. SLS</t>
  </si>
  <si>
    <t>SLS beregning</t>
  </si>
  <si>
    <t>ULS beregning</t>
  </si>
  <si>
    <t>[kPa]</t>
  </si>
  <si>
    <t>[%]</t>
  </si>
  <si>
    <t>[kN/m]</t>
  </si>
  <si>
    <t>*10^-6mm^4</t>
  </si>
  <si>
    <t>MPa</t>
  </si>
  <si>
    <t>*10^-3mm^3</t>
  </si>
  <si>
    <t>Q</t>
  </si>
  <si>
    <t>A1</t>
  </si>
  <si>
    <t>A2</t>
  </si>
  <si>
    <t>maksimal tillatt nedbøyning</t>
  </si>
  <si>
    <t>u_kar</t>
  </si>
  <si>
    <t>A3</t>
  </si>
  <si>
    <t>u</t>
  </si>
  <si>
    <t>B østligst</t>
  </si>
  <si>
    <t>C1</t>
  </si>
  <si>
    <t>A- (V1)</t>
  </si>
  <si>
    <t>Akse C - over kjøkken</t>
  </si>
  <si>
    <t>B2</t>
  </si>
  <si>
    <t>Vollan 2 - møteromsbjelke</t>
  </si>
  <si>
    <t>Møre Palleservice - Gavlbjelke</t>
  </si>
  <si>
    <t>Mats og Josefin</t>
  </si>
  <si>
    <t>Stikkprøve Ulmatec Hareid Takbjelke</t>
  </si>
  <si>
    <t>Mats og Josefin stue 3,5m</t>
  </si>
  <si>
    <t>Mats og Josefin stue 2,5m</t>
  </si>
  <si>
    <t>Rørgjennomføring i ståldrager</t>
  </si>
  <si>
    <t>Møre Trafo Øst mellombygg</t>
  </si>
  <si>
    <t>Mats ogjosefin mønedrager</t>
  </si>
  <si>
    <t>Tilbygg Flatholmen</t>
  </si>
  <si>
    <t>Mats og josefin takbjelker</t>
  </si>
  <si>
    <t>Møre Trafo Mellombygget</t>
  </si>
  <si>
    <t>Brannstasjon Verkstedbjelke 7m 5stk totalt</t>
  </si>
  <si>
    <t>Brannstasjon Verkstedbjelke 7m 6stk totalt</t>
  </si>
  <si>
    <t>Brannstasjon Verkstedbjelke 7m 4stk totalt</t>
  </si>
  <si>
    <t>Brannstasjon Akse 1 A-J</t>
  </si>
  <si>
    <t>Brannstasjon Akse 5 Tak N/T+</t>
  </si>
  <si>
    <t>Brannstasjon Akse 5 N/T+ hulldekker</t>
  </si>
  <si>
    <t>Brannstasjon Akse 5 N/T+ hulldekker fler søyler</t>
  </si>
  <si>
    <t>Brannstasjon Akse 1 J-K do 2</t>
  </si>
  <si>
    <t>Brannstasjon Akse 1 J-K do 1</t>
  </si>
  <si>
    <t>Skoghaug Ind Tueveien Takbjelke</t>
  </si>
  <si>
    <t>Solbakken bæring hulldekke vest</t>
  </si>
  <si>
    <t>Solbakken bæring takplate vest</t>
  </si>
  <si>
    <t>Bæring mellom sjakt og fasade</t>
  </si>
  <si>
    <t>MRd</t>
  </si>
  <si>
    <t>Type</t>
  </si>
  <si>
    <t>Profil</t>
  </si>
  <si>
    <t>Iy*10^-6mm^4</t>
  </si>
  <si>
    <t>W,el,y*10^-3mm3</t>
  </si>
  <si>
    <t>Sjekker relativ kapasitet manuelt</t>
  </si>
  <si>
    <t>MRd kNm</t>
  </si>
  <si>
    <t>u/umax</t>
  </si>
  <si>
    <t>Mykeste profil?</t>
  </si>
  <si>
    <t>MRd&gt;MEd</t>
  </si>
  <si>
    <t>Profil stivt nok ift. u/umax</t>
  </si>
  <si>
    <t>Valgt profil</t>
  </si>
  <si>
    <t>Parameter OK ift. valgt profil</t>
  </si>
  <si>
    <t>Mykeste mulige profil</t>
  </si>
  <si>
    <t>SBM Nord-Sør Etasjeskiller DO5 over 60-tallsbygget</t>
  </si>
  <si>
    <t>SBM drager i tak nord for styrkerom</t>
  </si>
  <si>
    <t>SBM drager akse 4 mellom eks. vegg og ny søyle</t>
  </si>
  <si>
    <t>Vebenstadkollen Bæring over trapp i kjeller</t>
  </si>
  <si>
    <t xml:space="preserve">Vebenstadkollen utveksling over vindu/dør </t>
  </si>
  <si>
    <t>Vebenstadkollen utveksling over dør treningsrom</t>
  </si>
  <si>
    <t>Vebenstadkollen utveksling over vindu/dør nord</t>
  </si>
  <si>
    <t>Vebenstadkollen utveksling over ny hovedinngang</t>
  </si>
  <si>
    <t>Bjelke takbæring hovedinngang mot garasje</t>
  </si>
  <si>
    <t>u_max override</t>
  </si>
  <si>
    <t>Ved</t>
  </si>
  <si>
    <t>Wy</t>
  </si>
  <si>
    <t>I_nødv</t>
  </si>
  <si>
    <t>a: aqL^4/bEI</t>
  </si>
  <si>
    <t>b: aqL^4/bEI</t>
  </si>
  <si>
    <t>SBM DO6 Nordfasade - Feltvis</t>
  </si>
  <si>
    <t>SBM DO6 Nordfasade - Dobbeltspenn</t>
  </si>
  <si>
    <t>gamma_s</t>
  </si>
  <si>
    <t>u/u_max</t>
  </si>
  <si>
    <t>Bjelkemodell</t>
  </si>
  <si>
    <t>https://www.linsgroup.com/MECHANICAL_DESIGN/Beam/beam.h1.jpg</t>
  </si>
  <si>
    <t>URL Statikk</t>
  </si>
  <si>
    <t>Bilde Statikk</t>
  </si>
  <si>
    <t>URL Formler</t>
  </si>
  <si>
    <t>Bilde Formler</t>
  </si>
  <si>
    <t>https://www.linsgroup.com/MECHANICAL_DESIGN/Beam/beam.h2.gif</t>
  </si>
  <si>
    <t>Tegn</t>
  </si>
  <si>
    <t>Forklaring</t>
  </si>
  <si>
    <t>teller i nedbøyningsformel, feks 5qL^4/384EI --&gt; a = 5</t>
  </si>
  <si>
    <t>teller i nedbøyningsformel, feks 5qL^4/384EI --&gt; b = 384</t>
  </si>
  <si>
    <t>vt</t>
  </si>
  <si>
    <t>vn</t>
  </si>
  <si>
    <t>mt</t>
  </si>
  <si>
    <t>mn</t>
  </si>
  <si>
    <t>teller i skjærkraftformel, feks qL/2 --&gt; vt = 1</t>
  </si>
  <si>
    <t>teller i skjærkraftformel, feks qL/2 --&gt; vn = 2</t>
  </si>
  <si>
    <t>teller i momentformel, feks qL^2/8 --&gt; mt = 1</t>
  </si>
  <si>
    <t>teller i momentformel, feks qL^2/8 --&gt; mn = 8</t>
  </si>
  <si>
    <t>Cantilever Uniformly Distributed Load</t>
  </si>
  <si>
    <t>https://www.linsgroup.com/MECHANICAL_DESIGN/Beam/beam.h24.jpg</t>
  </si>
  <si>
    <t>https://www.linsgroup.com/MECHANICAL_DESIGN/Beam/beam.h23.gif</t>
  </si>
  <si>
    <t>SBM DO6 Nordfasade Hulldekker - Feltvis (gjenbruk)</t>
  </si>
  <si>
    <t>SBM DO6 Nordfasade Hulldekker - Kontinuerlig (ny profil)</t>
  </si>
  <si>
    <t>Continuous Beam – Two Equal Spans – Uniformly Distributed Load</t>
  </si>
  <si>
    <t>https://www.linsgroup.com/MECHANICAL_DESIGN/Beam/beam.h58.jpg</t>
  </si>
  <si>
    <t>https://www.linsgroup.com/MECHANICAL_DESIGN/Beam/beam.h57.gif</t>
  </si>
  <si>
    <t>VEd</t>
  </si>
  <si>
    <t>(leave blank if none)</t>
  </si>
  <si>
    <t>Simply Supported Uniformly Distributed Load</t>
  </si>
  <si>
    <t>(bjelkeskjær)</t>
  </si>
  <si>
    <t>VIPPING IKKE INKLUDERT</t>
  </si>
  <si>
    <t>tofeltsfaktor</t>
  </si>
  <si>
    <t>enfeltsfaktor</t>
  </si>
  <si>
    <t>Takbjelke lysgård</t>
  </si>
  <si>
    <t>DO5 Sørbygget mot Vestbygget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</si>
</sst>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85"/>
      <color rgb="FF222222"/>
      <name val="Open Sans"/>
      <family val="2"/>
    </font>
    <font>
      <b/>
      <i/>
      <sz val="12.85"/>
      <color rgb="FF222222"/>
      <name val="Open Sans"/>
      <family val="2"/>
    </font>
    <font>
      <b/>
      <vertAlign val="subscript"/>
      <sz val="9"/>
      <color rgb="FF222222"/>
      <name val="Open Sans"/>
      <family val="2"/>
    </font>
    <font>
      <b/>
      <sz val="11"/>
      <color theme="1"/>
      <name val="Open Sans"/>
      <family val="2"/>
    </font>
    <font>
      <b/>
      <vertAlign val="subscript"/>
      <sz val="8"/>
      <color theme="1"/>
      <name val="Open Sans"/>
      <family val="2"/>
    </font>
    <font>
      <b/>
      <vertAlign val="superscript"/>
      <sz val="8"/>
      <color theme="1"/>
      <name val="Open Sans"/>
      <family val="2"/>
    </font>
    <font>
      <sz val="11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FFFFFF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000000"/>
      </right>
      <top style="medium">
        <color rgb="FFFFFFFF"/>
      </top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2" fillId="8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9" fillId="3" borderId="10" xfId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2" borderId="10" xfId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" fillId="0" borderId="0" xfId="0" applyFont="1"/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right"/>
    </xf>
    <xf numFmtId="0" fontId="10" fillId="0" borderId="0" xfId="0" applyFont="1"/>
    <xf numFmtId="0" fontId="0" fillId="5" borderId="0" xfId="0" applyFill="1"/>
    <xf numFmtId="164" fontId="0" fillId="5" borderId="0" xfId="0" applyNumberFormat="1" applyFill="1"/>
    <xf numFmtId="0" fontId="0" fillId="0" borderId="0" xfId="0" applyAlignment="1">
      <alignment horizontal="right"/>
    </xf>
    <xf numFmtId="0" fontId="8" fillId="3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9" fillId="2" borderId="7" xfId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0" fillId="6" borderId="0" xfId="0" applyFill="1"/>
    <xf numFmtId="1" fontId="0" fillId="5" borderId="0" xfId="0" applyNumberFormat="1" applyFill="1"/>
    <xf numFmtId="2" fontId="0" fillId="5" borderId="0" xfId="0" applyNumberFormat="1" applyFill="1"/>
    <xf numFmtId="0" fontId="0" fillId="7" borderId="0" xfId="0" applyFill="1"/>
    <xf numFmtId="1" fontId="11" fillId="0" borderId="0" xfId="0" applyNumberFormat="1" applyFont="1"/>
    <xf numFmtId="2" fontId="0" fillId="7" borderId="0" xfId="0" applyNumberFormat="1" applyFill="1"/>
    <xf numFmtId="0" fontId="0" fillId="9" borderId="0" xfId="0" applyFill="1"/>
    <xf numFmtId="0" fontId="0" fillId="7" borderId="0" xfId="0" applyFill="1" applyAlignment="1">
      <alignment horizontal="right"/>
    </xf>
    <xf numFmtId="0" fontId="0" fillId="10" borderId="0" xfId="0" applyFill="1"/>
    <xf numFmtId="0" fontId="0" fillId="9" borderId="19" xfId="0" applyFill="1" applyBorder="1"/>
    <xf numFmtId="0" fontId="0" fillId="9" borderId="20" xfId="0" applyFill="1" applyBorder="1"/>
    <xf numFmtId="164" fontId="0" fillId="9" borderId="21" xfId="0" applyNumberFormat="1" applyFill="1" applyBorder="1"/>
    <xf numFmtId="0" fontId="0" fillId="9" borderId="22" xfId="0" applyFill="1" applyBorder="1"/>
    <xf numFmtId="0" fontId="0" fillId="9" borderId="23" xfId="0" applyFill="1" applyBorder="1"/>
    <xf numFmtId="164" fontId="0" fillId="9" borderId="24" xfId="0" applyNumberFormat="1" applyFill="1" applyBorder="1"/>
    <xf numFmtId="0" fontId="0" fillId="9" borderId="26" xfId="0" applyFill="1" applyBorder="1"/>
    <xf numFmtId="0" fontId="0" fillId="9" borderId="27" xfId="0" applyFill="1" applyBorder="1"/>
    <xf numFmtId="0" fontId="12" fillId="8" borderId="0" xfId="2"/>
    <xf numFmtId="0" fontId="0" fillId="11" borderId="0" xfId="0" applyFill="1"/>
    <xf numFmtId="0" fontId="1" fillId="5" borderId="0" xfId="0" applyFont="1" applyFill="1"/>
    <xf numFmtId="0" fontId="1" fillId="4" borderId="0" xfId="0" applyFont="1" applyFill="1"/>
    <xf numFmtId="0" fontId="0" fillId="7" borderId="19" xfId="0" applyFill="1" applyBorder="1" applyAlignment="1">
      <alignment horizontal="right"/>
    </xf>
    <xf numFmtId="0" fontId="1" fillId="9" borderId="25" xfId="0" applyFont="1" applyFill="1" applyBorder="1"/>
    <xf numFmtId="0" fontId="0" fillId="7" borderId="26" xfId="0" applyFill="1" applyBorder="1" applyAlignment="1">
      <alignment horizontal="right"/>
    </xf>
    <xf numFmtId="0" fontId="1" fillId="9" borderId="20" xfId="0" applyFont="1" applyFill="1" applyBorder="1"/>
    <xf numFmtId="0" fontId="0" fillId="9" borderId="21" xfId="0" applyFill="1" applyBorder="1"/>
    <xf numFmtId="0" fontId="1" fillId="9" borderId="22" xfId="0" applyFont="1" applyFill="1" applyBorder="1"/>
    <xf numFmtId="165" fontId="0" fillId="7" borderId="23" xfId="0" applyNumberFormat="1" applyFill="1" applyBorder="1" applyAlignment="1">
      <alignment horizontal="right"/>
    </xf>
    <xf numFmtId="0" fontId="0" fillId="9" borderId="24" xfId="0" applyFill="1" applyBorder="1"/>
    <xf numFmtId="164" fontId="0" fillId="0" borderId="0" xfId="0" applyNumberFormat="1"/>
    <xf numFmtId="1" fontId="0" fillId="10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0" fontId="9" fillId="0" borderId="0" xfId="1" applyAlignment="1">
      <alignment textRotation="90"/>
    </xf>
    <xf numFmtId="0" fontId="0" fillId="0" borderId="0" xfId="0" applyAlignment="1">
      <alignment textRotation="90"/>
    </xf>
    <xf numFmtId="164" fontId="0" fillId="9" borderId="0" xfId="0" applyNumberFormat="1" applyFill="1"/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</cellXfs>
  <cellStyles count="3">
    <cellStyle name="Good" xfId="2" builtinId="26"/>
    <cellStyle name="Hyperlink" xfId="1" builtinId="8"/>
    <cellStyle name="Normal" xfId="0" builtinId="0"/>
  </cellStyles>
  <dxfs count="39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969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90" wrapText="0" indent="0" justifyLastLine="0" shrinkToFit="0" readingOrder="0"/>
    </dxf>
    <dxf>
      <alignment horizontal="general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FFFFFF"/>
        </top>
        <bottom style="medium">
          <color rgb="FFDDDDDD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FFFFFF"/>
        </top>
        <bottom style="medium">
          <color rgb="FFDDDDDD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FFFFFF"/>
        </top>
        <bottom style="medium">
          <color rgb="FFDDDDDD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0/07/relationships/rdRichValueWebImage" Target="richData/rdRichValueWebImage.xml"/></Relationships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gif"/><Relationship Id="rId3" Type="http://schemas.openxmlformats.org/officeDocument/2006/relationships/hyperlink" Target="https://www.linsgroup.com/MECHANICAL_DESIGN/Beam/beam.h2.gif" TargetMode="External"/><Relationship Id="rId7" Type="http://schemas.openxmlformats.org/officeDocument/2006/relationships/hyperlink" Target="https://www.linsgroup.com/MECHANICAL_DESIGN/Beam/beam.h23.gif" TargetMode="External"/><Relationship Id="rId12" Type="http://schemas.openxmlformats.org/officeDocument/2006/relationships/image" Target="../media/image6.gif"/><Relationship Id="rId2" Type="http://schemas.openxmlformats.org/officeDocument/2006/relationships/image" Target="../media/image1.jpg"/><Relationship Id="rId1" Type="http://schemas.openxmlformats.org/officeDocument/2006/relationships/hyperlink" Target="https://www.linsgroup.com/MECHANICAL_DESIGN/Beam/beam.h1.jpg" TargetMode="External"/><Relationship Id="rId6" Type="http://schemas.openxmlformats.org/officeDocument/2006/relationships/image" Target="../media/image3.jpg"/><Relationship Id="rId11" Type="http://schemas.openxmlformats.org/officeDocument/2006/relationships/hyperlink" Target="https://www.linsgroup.com/MECHANICAL_DESIGN/Beam/beam.h57.gif" TargetMode="External"/><Relationship Id="rId5" Type="http://schemas.openxmlformats.org/officeDocument/2006/relationships/hyperlink" Target="https://www.linsgroup.com/MECHANICAL_DESIGN/Beam/beam.h24.jpg" TargetMode="External"/><Relationship Id="rId10" Type="http://schemas.openxmlformats.org/officeDocument/2006/relationships/image" Target="../media/image5.jpg"/><Relationship Id="rId4" Type="http://schemas.openxmlformats.org/officeDocument/2006/relationships/image" Target="../media/image2.gif"/><Relationship Id="rId9" Type="http://schemas.openxmlformats.org/officeDocument/2006/relationships/hyperlink" Target="https://www.linsgroup.com/MECHANICAL_DESIGN/Beam/beam.h58.jpg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</webImagesSrd>
</file>

<file path=xl/richData/rdrichvalue.xml><?xml version="1.0" encoding="utf-8"?>
<rvData xmlns="http://schemas.microsoft.com/office/spreadsheetml/2017/richdata" count="6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419F47-3B4B-4615-A6B4-22CB00F51DB5}" name="IPE" displayName="IPE" ref="A8:AJ26" totalsRowShown="0" headerRowDxfId="398" dataDxfId="397" tableBorderDxfId="396">
  <autoFilter ref="A8:AJ26" xr:uid="{C7419F47-3B4B-4615-A6B4-22CB00F51DB5}"/>
  <tableColumns count="36">
    <tableColumn id="1" xr3:uid="{164A5F04-2027-4564-98C0-BCEC41DA0E39}" name="Profile" dataDxfId="395"/>
    <tableColumn id="2" xr3:uid="{C2B82919-7E28-4FAD-A943-3452089171D4}" name="Column1" dataDxfId="394" dataCellStyle="Hyperlink"/>
    <tableColumn id="3" xr3:uid="{60C7E2F0-3F19-4038-A46A-18EF4DDEFA17}" name="h" dataDxfId="393"/>
    <tableColumn id="4" xr3:uid="{7D98F037-C435-40B2-92D3-D1D14744D72A}" name="b" dataDxfId="392"/>
    <tableColumn id="5" xr3:uid="{B69E974B-DF01-4865-84B3-AA589D41A362}" name="tw" dataDxfId="391"/>
    <tableColumn id="6" xr3:uid="{F25E0EB2-3D49-4AAA-BA7C-FFE71A67FB16}" name="tf" dataDxfId="390"/>
    <tableColumn id="7" xr3:uid="{8C4E299F-428B-4347-8B6E-ACF77DDE23FC}" name="r" dataDxfId="389"/>
    <tableColumn id="8" xr3:uid="{5F5F7301-249B-4496-92AE-824F5004AEF6}" name="m" dataDxfId="388"/>
    <tableColumn id="9" xr3:uid="{B3AFFAF4-4506-414F-BE80-A552DB6DAA19}" name="P" dataDxfId="387"/>
    <tableColumn id="10" xr3:uid="{460945EE-0506-458A-BFD4-29F2ED36F090}" name="A" dataDxfId="386"/>
    <tableColumn id="11" xr3:uid="{3A8DA56D-0DD2-43DB-A3A7-0896DFB5AEC3}" name="Av,z" dataDxfId="385"/>
    <tableColumn id="12" xr3:uid="{71F1C21A-8FFA-44AB-964E-F137E64F2B51}" name="Av,y" dataDxfId="384"/>
    <tableColumn id="13" xr3:uid="{99BA6805-B957-4E48-AFA2-EEADCA8924CC}" name="Iy" dataDxfId="383"/>
    <tableColumn id="14" xr3:uid="{0A24A101-5E81-45F4-8331-2890EBF1C867}" name="iy2" dataDxfId="382"/>
    <tableColumn id="15" xr3:uid="{2FDAC587-25AD-4A21-8820-3FEAA082F534}" name="Wel,y" dataDxfId="381"/>
    <tableColumn id="16" xr3:uid="{325278B7-B28C-496C-A714-88CC014FB808}" name="Wpl,y" dataDxfId="380"/>
    <tableColumn id="17" xr3:uid="{EB3F1697-EB71-4A1C-A87F-3203EE893D91}" name="Iz" dataDxfId="379"/>
    <tableColumn id="18" xr3:uid="{0FCD1292-2767-4451-A2AD-56B4528CDC25}" name="iz3" dataDxfId="378"/>
    <tableColumn id="19" xr3:uid="{730FF76A-7980-4404-8448-029C597F8A49}" name="Wel,z" dataDxfId="377"/>
    <tableColumn id="20" xr3:uid="{01E82CDE-20E9-42CD-BE0A-4B76A22B8D0A}" name="Wpl,z" dataDxfId="376"/>
    <tableColumn id="21" xr3:uid="{55D7FF87-4C62-4993-9BE1-015C64B8D605}" name="IT" dataDxfId="375"/>
    <tableColumn id="22" xr3:uid="{0AB967EE-D5E0-4BDC-AB09-2CD42F583287}" name="WT" dataDxfId="374"/>
    <tableColumn id="23" xr3:uid="{59A3E3E6-15CF-4A1B-92D0-147C02D2F0CD}" name="Iw" dataDxfId="373"/>
    <tableColumn id="24" xr3:uid="{FD0A8196-0F51-44D2-A4E1-1BC852F0F5C3}" name="Ww" dataDxfId="372"/>
    <tableColumn id="25" xr3:uid="{ADDB4C0E-0244-4713-A71C-F4B79DFFD55A}" name="Npl,Rd" dataDxfId="371"/>
    <tableColumn id="26" xr3:uid="{70FA7C22-D339-4729-83A6-1C167D58E31A}" name="Vpl,Rd,z" dataDxfId="370"/>
    <tableColumn id="27" xr3:uid="{9B07A64C-3569-4926-A3F9-775F4E36B77D}" name="Vpl,Rd,y" dataDxfId="369"/>
    <tableColumn id="28" xr3:uid="{D64207CF-DBF8-40FC-9409-BD4CFAD85BAA}" name="Mel,Rd,y" dataDxfId="368"/>
    <tableColumn id="29" xr3:uid="{C888B2C3-0902-4C79-9772-9B3DB4200871}" name="Mpl,Rd,y" dataDxfId="367"/>
    <tableColumn id="30" xr3:uid="{D092DAA5-F3DE-4FE0-A88F-2A704048DA3D}" name="Mel,Rd,z" dataDxfId="366"/>
    <tableColumn id="31" xr3:uid="{A9886AF4-ADC5-4467-BCAE-2C4EB1CA182F}" name="Mpl,Rd,z" dataDxfId="365"/>
    <tableColumn id="32" xr3:uid="{F8A3A2BB-F26B-4A8C-8BEE-F6CCE17E849B}" name="Column4" dataDxfId="364"/>
    <tableColumn id="33" xr3:uid="{0CC30303-EDF9-446F-AAE5-B5A257EBB800}" name="Column5" dataDxfId="363"/>
    <tableColumn id="34" xr3:uid="{F680A7A8-0564-47E4-B096-E7DBC4D3EE70}" name="Column6" dataDxfId="362"/>
    <tableColumn id="35" xr3:uid="{02D45229-5BD7-44C3-B214-CFC74523727E}" name="Column7" dataDxfId="361"/>
    <tableColumn id="36" xr3:uid="{B2E6E592-25D8-4A4C-B5F0-0CA7EAFCA9DE}" name="Column8" dataDxfId="3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0CE9E-A570-4733-A7B5-8550503B8DFB}" name="HEA" displayName="HEA" ref="A8:AJ32" totalsRowShown="0" headerRowDxfId="359" dataDxfId="358" tableBorderDxfId="357">
  <autoFilter ref="A8:AJ32" xr:uid="{93B0CE9E-A570-4733-A7B5-8550503B8DFB}"/>
  <tableColumns count="36">
    <tableColumn id="1" xr3:uid="{7CA4F1C4-D13C-4370-BA13-7EA912327C2D}" name="Profile" dataDxfId="356"/>
    <tableColumn id="2" xr3:uid="{359FEE9E-D266-4A50-8B61-F541FC0D18CF}" name="Column1" dataDxfId="355" dataCellStyle="Hyperlink"/>
    <tableColumn id="3" xr3:uid="{B5CE1A41-0643-48FF-833C-430CC7DC7254}" name="h" dataDxfId="354"/>
    <tableColumn id="4" xr3:uid="{4F12811B-B727-43B6-A519-D9FEF01325D3}" name="b" dataDxfId="353"/>
    <tableColumn id="5" xr3:uid="{926E3791-A672-4F64-BA84-3C32B8380B7C}" name="tw" dataDxfId="352"/>
    <tableColumn id="6" xr3:uid="{CF729F08-4BB0-4498-9F51-2FC8629D98B6}" name="tf" dataDxfId="351"/>
    <tableColumn id="7" xr3:uid="{11DD69E9-CF48-4C0E-9A92-82CC9F275C7E}" name="r" dataDxfId="350"/>
    <tableColumn id="8" xr3:uid="{9B4BDB16-CD57-44EC-AC0F-4F3CBFAC216E}" name="m" dataDxfId="349"/>
    <tableColumn id="9" xr3:uid="{92715798-3BB2-434B-96C6-5584A268FC0C}" name="P" dataDxfId="348"/>
    <tableColumn id="10" xr3:uid="{129A34C0-B91E-4971-84DD-31793B3BE682}" name="A" dataDxfId="347"/>
    <tableColumn id="11" xr3:uid="{923CEF35-D646-4833-A969-21E52E5CCBAA}" name="Av,z" dataDxfId="346"/>
    <tableColumn id="12" xr3:uid="{13513B28-936B-45CA-8446-A6F87531DF41}" name="Av,y" dataDxfId="345"/>
    <tableColumn id="13" xr3:uid="{6BD50215-AA19-4FD1-AF6D-352676AA9880}" name="Iy" dataDxfId="344"/>
    <tableColumn id="14" xr3:uid="{13295AF4-1A76-4CFD-B510-0B437937A0E2}" name="iy2" dataDxfId="343"/>
    <tableColumn id="15" xr3:uid="{7D5FC599-496B-4D3C-AE1E-E9B8A675A609}" name="Wel,y" dataDxfId="342"/>
    <tableColumn id="16" xr3:uid="{F2B2F2FD-5927-4EF3-9DDE-6D262D4E05BA}" name="Wpl,y" dataDxfId="341"/>
    <tableColumn id="17" xr3:uid="{24BAD2D9-DC48-42A7-A7D7-14D3DC5F9FDA}" name="Iz" dataDxfId="340"/>
    <tableColumn id="18" xr3:uid="{ABA5A266-A443-475A-B907-2611345FF921}" name="iz3" dataDxfId="339"/>
    <tableColumn id="19" xr3:uid="{469CF159-7F9D-4954-BA94-8762D63609AF}" name="Wel,z" dataDxfId="338"/>
    <tableColumn id="20" xr3:uid="{AB0805C4-A1B4-4AC5-9041-643B2BB852AB}" name="Wpl,z" dataDxfId="337"/>
    <tableColumn id="21" xr3:uid="{21B4E557-76E9-4DC5-A4F0-AE54C1639BA3}" name="IT" dataDxfId="336"/>
    <tableColumn id="22" xr3:uid="{9903AE84-9C74-4AFA-8460-0A65D4D803E0}" name="WT" dataDxfId="335"/>
    <tableColumn id="23" xr3:uid="{A04F5C2E-4D5B-47AC-BA85-ADC647D4F913}" name="Iw" dataDxfId="334"/>
    <tableColumn id="24" xr3:uid="{9ED434E8-EA8B-4A90-A36E-37BB3BE1D5E9}" name="Ww" dataDxfId="333"/>
    <tableColumn id="25" xr3:uid="{D72A1684-1C5D-48EC-B8A6-083D38BA5BFA}" name="Npl,Rd" dataDxfId="332"/>
    <tableColumn id="26" xr3:uid="{80D4694B-F8D7-495E-93A3-A62447CB62C7}" name="Vpl,Rd,z" dataDxfId="331"/>
    <tableColumn id="27" xr3:uid="{84FC50A0-8DDA-4F53-BDAD-92A3282049B5}" name="Vpl,Rd,y" dataDxfId="330"/>
    <tableColumn id="28" xr3:uid="{A28BB584-EF7B-4209-9AFF-EB01ABBBDEB4}" name="Mel,Rd,y" dataDxfId="329"/>
    <tableColumn id="29" xr3:uid="{05FDF344-ACE4-4833-AD89-BB5A51968063}" name="Mpl,Rd,y" dataDxfId="328"/>
    <tableColumn id="30" xr3:uid="{EAED4334-F1A4-41AD-8175-4B740B461597}" name="Mel,Rd,z" dataDxfId="327"/>
    <tableColumn id="31" xr3:uid="{FC7FD0E3-C9EF-4698-9382-C8E0B3BC6771}" name="Mpl,Rd,z" dataDxfId="326"/>
    <tableColumn id="32" xr3:uid="{D72F1FC4-A809-4666-9E2B-538CDC2B3A14}" name="Column4" dataDxfId="325"/>
    <tableColumn id="33" xr3:uid="{567E87FB-C8B2-4A7D-8F6B-B782B2990AC9}" name="Column5" dataDxfId="324"/>
    <tableColumn id="34" xr3:uid="{5E94A936-2734-42FA-AD52-7BD159A07613}" name="Column6" dataDxfId="323"/>
    <tableColumn id="35" xr3:uid="{C5B656BE-3723-4C1D-9DC5-694A6A2B4C41}" name="Column7" dataDxfId="322"/>
    <tableColumn id="36" xr3:uid="{C34E7095-81DB-40DC-B357-45A6D57AEC12}" name="Column8" dataDxfId="3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BED432-49CB-4AB5-91FB-4411BFA9F699}" name="HEB" displayName="HEB" ref="A8:AJ32" totalsRowShown="0" headerRowDxfId="320" dataDxfId="319" tableBorderDxfId="318">
  <autoFilter ref="A8:AJ32" xr:uid="{EEBED432-49CB-4AB5-91FB-4411BFA9F699}"/>
  <tableColumns count="36">
    <tableColumn id="1" xr3:uid="{7BB5DF7B-337E-485A-9A42-053EF90D3AD2}" name="Profile" dataDxfId="317"/>
    <tableColumn id="2" xr3:uid="{E71AE2F6-0C10-4A43-81E5-6670C926E695}" name="Column1" dataDxfId="316" dataCellStyle="Hyperlink"/>
    <tableColumn id="3" xr3:uid="{B51C81C4-806F-4405-9BF7-0413659FE51A}" name="h" dataDxfId="315"/>
    <tableColumn id="4" xr3:uid="{15ABEF5C-EFF1-4159-B7EA-15F31A0EFCC9}" name="b" dataDxfId="314"/>
    <tableColumn id="5" xr3:uid="{2E3CC761-D957-4079-8F7E-91D1BA16AD5B}" name="tw" dataDxfId="313"/>
    <tableColumn id="6" xr3:uid="{05638F7F-86E1-4B67-8DDF-6F5D40122399}" name="tf" dataDxfId="312"/>
    <tableColumn id="7" xr3:uid="{BD7F595F-D3E0-4D01-9F91-0AD28B89FA25}" name="r" dataDxfId="311"/>
    <tableColumn id="8" xr3:uid="{C4CEBFFA-298B-4C1C-944B-CAB1A63F57FE}" name="m" dataDxfId="310"/>
    <tableColumn id="9" xr3:uid="{99FA0DF6-9C46-4F9B-8A35-2595C0BCF17C}" name="P" dataDxfId="309"/>
    <tableColumn id="10" xr3:uid="{D482440C-0675-4979-86C0-FAAC8694B16A}" name="A" dataDxfId="308"/>
    <tableColumn id="11" xr3:uid="{26DC3C4D-08F2-4527-97F8-EC9CBF490199}" name="Av,z" dataDxfId="307"/>
    <tableColumn id="12" xr3:uid="{A838649C-96A9-40C0-9FFC-333BDC637EBB}" name="Av,y" dataDxfId="306"/>
    <tableColumn id="13" xr3:uid="{4ABE5EB9-E56C-4C33-9214-80D0A4C79B45}" name="Iy" dataDxfId="305"/>
    <tableColumn id="14" xr3:uid="{5837BFD7-990C-4970-B1C1-1D12018D5946}" name="iy2" dataDxfId="304"/>
    <tableColumn id="15" xr3:uid="{41D16CAF-18EE-4181-B458-DAF8F052509B}" name="Wel,y" dataDxfId="303"/>
    <tableColumn id="16" xr3:uid="{D297AE0E-6E85-4072-9C36-C731F3666A41}" name="Wpl,y" dataDxfId="302"/>
    <tableColumn id="17" xr3:uid="{9D522AAB-8F4A-4D78-9146-AB6D934BB2A1}" name="Iz" dataDxfId="301"/>
    <tableColumn id="18" xr3:uid="{4699A08E-D11B-4F31-B4A1-86E5D1801AF5}" name="iz3" dataDxfId="300"/>
    <tableColumn id="19" xr3:uid="{89350F42-BF79-4F96-B575-50182D8D4450}" name="Wel,z" dataDxfId="299"/>
    <tableColumn id="20" xr3:uid="{3AF5BD35-2F7D-42D2-BC03-87DAE0CB9FB3}" name="Wpl,z" dataDxfId="298"/>
    <tableColumn id="21" xr3:uid="{CBDCDEED-14C2-456C-959A-C5EB58AEF65E}" name="IT" dataDxfId="297"/>
    <tableColumn id="22" xr3:uid="{7C9B05B1-9CDE-4ED5-8663-93C23A44F493}" name="WT" dataDxfId="296"/>
    <tableColumn id="23" xr3:uid="{1D46D6CE-E99B-4FCD-8756-FB7D367B7F5B}" name="Iw" dataDxfId="295"/>
    <tableColumn id="24" xr3:uid="{D6DEE501-D50D-43B3-BD42-28AE352C2898}" name="Ww" dataDxfId="294"/>
    <tableColumn id="25" xr3:uid="{14DBBD0C-6AB6-4E01-AB6C-54B49EC8939F}" name="Npl,Rd" dataDxfId="293"/>
    <tableColumn id="26" xr3:uid="{BF6F37FD-E12C-4C49-A9D8-73F765F022F0}" name="Vpl,Rd,z" dataDxfId="292"/>
    <tableColumn id="27" xr3:uid="{D2A85510-26AE-4581-A160-23909FEDEDA1}" name="Vpl,Rd,y" dataDxfId="291"/>
    <tableColumn id="28" xr3:uid="{F117BA17-E059-402A-9362-CF3FE63DB312}" name="Mel,Rd,y" dataDxfId="290"/>
    <tableColumn id="29" xr3:uid="{CAA9A8F8-90F9-48A1-9C2D-A8F55F8228FE}" name="Mpl,Rd,y" dataDxfId="289"/>
    <tableColumn id="30" xr3:uid="{BC3D12A5-6EB5-4A0C-81BC-58F107CBB478}" name="Mel,Rd,z" dataDxfId="288"/>
    <tableColumn id="31" xr3:uid="{A0146CF8-841E-4254-A041-5692430B8293}" name="Mpl,Rd,z" dataDxfId="287"/>
    <tableColumn id="32" xr3:uid="{C5CF26B7-624D-44F7-BF12-98D4BBD005DE}" name="Column4" dataDxfId="286"/>
    <tableColumn id="33" xr3:uid="{6A1400BB-7162-498E-A5E3-E3CE63ABAEFD}" name="Column5" dataDxfId="285"/>
    <tableColumn id="34" xr3:uid="{DEE47139-E985-4DF5-947F-E216B149C65F}" name="Column6" dataDxfId="284"/>
    <tableColumn id="35" xr3:uid="{43789DD2-8020-47D1-8F7B-1DA77085AFE9}" name="Column7" dataDxfId="283"/>
    <tableColumn id="36" xr3:uid="{7FEC820A-2E09-45F5-9718-86ED0653C998}" name="Column8" dataDxfId="28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9DC7AE-9A4F-478A-A70E-911F287AC906}" name="bjelkemodell_tabell" displayName="bjelkemodell_tabell" ref="A12:K15" totalsRowShown="0">
  <autoFilter ref="A12:K15" xr:uid="{089DC7AE-9A4F-478A-A70E-911F287AC906}"/>
  <tableColumns count="11">
    <tableColumn id="1" xr3:uid="{F41E4731-DB39-49FC-99D5-D95F996AB4E8}" name="Bjelkemodell"/>
    <tableColumn id="2" xr3:uid="{D3721A26-3F20-428A-B9FD-4711C1E6EF80}" name="URL Statikk" dataDxfId="281"/>
    <tableColumn id="3" xr3:uid="{9C61C0EE-C7D8-4D4E-9C4E-254ECB95B318}" name="Bilde Statikk">
      <calculatedColumnFormula>_xlfn.IMAGE(B13)</calculatedColumnFormula>
    </tableColumn>
    <tableColumn id="4" xr3:uid="{4E757AE3-E398-423E-A35A-D4335FA3A692}" name="URL Formler" dataDxfId="280"/>
    <tableColumn id="5" xr3:uid="{EFE8FC0A-56C2-4220-AEF8-9260C0E06EA5}" name="Bilde Formler">
      <calculatedColumnFormula>_xlfn.IMAGE(D13)</calculatedColumnFormula>
    </tableColumn>
    <tableColumn id="6" xr3:uid="{C4FF4803-B3DF-4AC9-8D8A-8BCE3A519F41}" name="a"/>
    <tableColumn id="7" xr3:uid="{C77110F2-8F14-4990-8FEB-08D0B7849DCD}" name="b"/>
    <tableColumn id="8" xr3:uid="{BE977A9B-0C79-46A4-955A-425C570E7445}" name="vt"/>
    <tableColumn id="9" xr3:uid="{9A19C1F0-2B3B-4473-A686-6CBC31159AB6}" name="vn"/>
    <tableColumn id="10" xr3:uid="{0F465A50-4869-4DE7-81D4-37E1DD928A04}" name="mt"/>
    <tableColumn id="11" xr3:uid="{783F0A1E-750A-497A-9FEE-4E5798FE2B41}" name="m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urocodeapplied.com/download/en1993/flanged-profile-dxf/IPE220" TargetMode="External"/><Relationship Id="rId13" Type="http://schemas.openxmlformats.org/officeDocument/2006/relationships/hyperlink" Target="https://eurocodeapplied.com/download/en1993/flanged-profile-dxf/IPE360" TargetMode="External"/><Relationship Id="rId18" Type="http://schemas.openxmlformats.org/officeDocument/2006/relationships/hyperlink" Target="https://eurocodeapplied.com/download/en1993/flanged-profile-dxf/IPE600" TargetMode="External"/><Relationship Id="rId3" Type="http://schemas.openxmlformats.org/officeDocument/2006/relationships/hyperlink" Target="https://eurocodeapplied.com/download/en1993/flanged-profile-dxf/IPE120" TargetMode="External"/><Relationship Id="rId7" Type="http://schemas.openxmlformats.org/officeDocument/2006/relationships/hyperlink" Target="https://eurocodeapplied.com/download/en1993/flanged-profile-dxf/IPE200" TargetMode="External"/><Relationship Id="rId12" Type="http://schemas.openxmlformats.org/officeDocument/2006/relationships/hyperlink" Target="https://eurocodeapplied.com/download/en1993/flanged-profile-dxf/IPE330" TargetMode="External"/><Relationship Id="rId17" Type="http://schemas.openxmlformats.org/officeDocument/2006/relationships/hyperlink" Target="https://eurocodeapplied.com/download/en1993/flanged-profile-dxf/IPE550" TargetMode="External"/><Relationship Id="rId2" Type="http://schemas.openxmlformats.org/officeDocument/2006/relationships/hyperlink" Target="https://eurocodeapplied.com/download/en1993/flanged-profile-dxf/IPE100" TargetMode="External"/><Relationship Id="rId16" Type="http://schemas.openxmlformats.org/officeDocument/2006/relationships/hyperlink" Target="https://eurocodeapplied.com/download/en1993/flanged-profile-dxf/IPE500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eurocodeapplied.com/download/en1993/flanged-profile-dxf/IPE80" TargetMode="External"/><Relationship Id="rId6" Type="http://schemas.openxmlformats.org/officeDocument/2006/relationships/hyperlink" Target="https://eurocodeapplied.com/download/en1993/flanged-profile-dxf/IPE180" TargetMode="External"/><Relationship Id="rId11" Type="http://schemas.openxmlformats.org/officeDocument/2006/relationships/hyperlink" Target="https://eurocodeapplied.com/download/en1993/flanged-profile-dxf/IPE300" TargetMode="External"/><Relationship Id="rId5" Type="http://schemas.openxmlformats.org/officeDocument/2006/relationships/hyperlink" Target="https://eurocodeapplied.com/download/en1993/flanged-profile-dxf/IPE160" TargetMode="External"/><Relationship Id="rId15" Type="http://schemas.openxmlformats.org/officeDocument/2006/relationships/hyperlink" Target="https://eurocodeapplied.com/download/en1993/flanged-profile-dxf/IPE450" TargetMode="External"/><Relationship Id="rId10" Type="http://schemas.openxmlformats.org/officeDocument/2006/relationships/hyperlink" Target="https://eurocodeapplied.com/download/en1993/flanged-profile-dxf/IPE270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eurocodeapplied.com/download/en1993/flanged-profile-dxf/IPE140" TargetMode="External"/><Relationship Id="rId9" Type="http://schemas.openxmlformats.org/officeDocument/2006/relationships/hyperlink" Target="https://eurocodeapplied.com/download/en1993/flanged-profile-dxf/IPE240" TargetMode="External"/><Relationship Id="rId14" Type="http://schemas.openxmlformats.org/officeDocument/2006/relationships/hyperlink" Target="https://eurocodeapplied.com/download/en1993/flanged-profile-dxf/IPE40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urocodeapplied.com/download/en1993/flanged-profile-dxf/HEA240" TargetMode="External"/><Relationship Id="rId13" Type="http://schemas.openxmlformats.org/officeDocument/2006/relationships/hyperlink" Target="https://eurocodeapplied.com/download/en1993/flanged-profile-dxf/HEA340" TargetMode="External"/><Relationship Id="rId18" Type="http://schemas.openxmlformats.org/officeDocument/2006/relationships/hyperlink" Target="https://eurocodeapplied.com/download/en1993/flanged-profile-dxf/HEA550" TargetMode="External"/><Relationship Id="rId26" Type="http://schemas.openxmlformats.org/officeDocument/2006/relationships/table" Target="../tables/table2.xml"/><Relationship Id="rId3" Type="http://schemas.openxmlformats.org/officeDocument/2006/relationships/hyperlink" Target="https://eurocodeapplied.com/download/en1993/flanged-profile-dxf/HEA140" TargetMode="External"/><Relationship Id="rId21" Type="http://schemas.openxmlformats.org/officeDocument/2006/relationships/hyperlink" Target="https://eurocodeapplied.com/download/en1993/flanged-profile-dxf/HEA700" TargetMode="External"/><Relationship Id="rId7" Type="http://schemas.openxmlformats.org/officeDocument/2006/relationships/hyperlink" Target="https://eurocodeapplied.com/download/en1993/flanged-profile-dxf/HEA220" TargetMode="External"/><Relationship Id="rId12" Type="http://schemas.openxmlformats.org/officeDocument/2006/relationships/hyperlink" Target="https://eurocodeapplied.com/download/en1993/flanged-profile-dxf/HEA320" TargetMode="External"/><Relationship Id="rId17" Type="http://schemas.openxmlformats.org/officeDocument/2006/relationships/hyperlink" Target="https://eurocodeapplied.com/download/en1993/flanged-profile-dxf/HEA500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eurocodeapplied.com/download/en1993/flanged-profile-dxf/HEA120" TargetMode="External"/><Relationship Id="rId16" Type="http://schemas.openxmlformats.org/officeDocument/2006/relationships/hyperlink" Target="https://eurocodeapplied.com/download/en1993/flanged-profile-dxf/HEA450" TargetMode="External"/><Relationship Id="rId20" Type="http://schemas.openxmlformats.org/officeDocument/2006/relationships/hyperlink" Target="https://eurocodeapplied.com/download/en1993/flanged-profile-dxf/HEA650" TargetMode="External"/><Relationship Id="rId1" Type="http://schemas.openxmlformats.org/officeDocument/2006/relationships/hyperlink" Target="https://eurocodeapplied.com/download/en1993/flanged-profile-dxf/HEA100" TargetMode="External"/><Relationship Id="rId6" Type="http://schemas.openxmlformats.org/officeDocument/2006/relationships/hyperlink" Target="https://eurocodeapplied.com/download/en1993/flanged-profile-dxf/HEA200" TargetMode="External"/><Relationship Id="rId11" Type="http://schemas.openxmlformats.org/officeDocument/2006/relationships/hyperlink" Target="https://eurocodeapplied.com/download/en1993/flanged-profile-dxf/HEA300" TargetMode="External"/><Relationship Id="rId24" Type="http://schemas.openxmlformats.org/officeDocument/2006/relationships/hyperlink" Target="https://eurocodeapplied.com/download/en1993/flanged-profile-dxf/HEA1000" TargetMode="External"/><Relationship Id="rId5" Type="http://schemas.openxmlformats.org/officeDocument/2006/relationships/hyperlink" Target="https://eurocodeapplied.com/download/en1993/flanged-profile-dxf/HEA180" TargetMode="External"/><Relationship Id="rId15" Type="http://schemas.openxmlformats.org/officeDocument/2006/relationships/hyperlink" Target="https://eurocodeapplied.com/download/en1993/flanged-profile-dxf/HEA400" TargetMode="External"/><Relationship Id="rId23" Type="http://schemas.openxmlformats.org/officeDocument/2006/relationships/hyperlink" Target="https://eurocodeapplied.com/download/en1993/flanged-profile-dxf/HEA900" TargetMode="External"/><Relationship Id="rId10" Type="http://schemas.openxmlformats.org/officeDocument/2006/relationships/hyperlink" Target="https://eurocodeapplied.com/download/en1993/flanged-profile-dxf/HEA280" TargetMode="External"/><Relationship Id="rId19" Type="http://schemas.openxmlformats.org/officeDocument/2006/relationships/hyperlink" Target="https://eurocodeapplied.com/download/en1993/flanged-profile-dxf/HEA600" TargetMode="External"/><Relationship Id="rId4" Type="http://schemas.openxmlformats.org/officeDocument/2006/relationships/hyperlink" Target="https://eurocodeapplied.com/download/en1993/flanged-profile-dxf/HEA160" TargetMode="External"/><Relationship Id="rId9" Type="http://schemas.openxmlformats.org/officeDocument/2006/relationships/hyperlink" Target="https://eurocodeapplied.com/download/en1993/flanged-profile-dxf/HEA260" TargetMode="External"/><Relationship Id="rId14" Type="http://schemas.openxmlformats.org/officeDocument/2006/relationships/hyperlink" Target="https://eurocodeapplied.com/download/en1993/flanged-profile-dxf/HEA360" TargetMode="External"/><Relationship Id="rId22" Type="http://schemas.openxmlformats.org/officeDocument/2006/relationships/hyperlink" Target="https://eurocodeapplied.com/download/en1993/flanged-profile-dxf/HEA80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urocodeapplied.com/download/en1993/flanged-profile-dxf/HEB240" TargetMode="External"/><Relationship Id="rId13" Type="http://schemas.openxmlformats.org/officeDocument/2006/relationships/hyperlink" Target="https://eurocodeapplied.com/download/en1993/flanged-profile-dxf/HEB340" TargetMode="External"/><Relationship Id="rId18" Type="http://schemas.openxmlformats.org/officeDocument/2006/relationships/hyperlink" Target="https://eurocodeapplied.com/download/en1993/flanged-profile-dxf/HEB550" TargetMode="External"/><Relationship Id="rId3" Type="http://schemas.openxmlformats.org/officeDocument/2006/relationships/hyperlink" Target="https://eurocodeapplied.com/download/en1993/flanged-profile-dxf/HEB140" TargetMode="External"/><Relationship Id="rId21" Type="http://schemas.openxmlformats.org/officeDocument/2006/relationships/hyperlink" Target="https://eurocodeapplied.com/download/en1993/flanged-profile-dxf/HEB700" TargetMode="External"/><Relationship Id="rId7" Type="http://schemas.openxmlformats.org/officeDocument/2006/relationships/hyperlink" Target="https://eurocodeapplied.com/download/en1993/flanged-profile-dxf/HEB220" TargetMode="External"/><Relationship Id="rId12" Type="http://schemas.openxmlformats.org/officeDocument/2006/relationships/hyperlink" Target="https://eurocodeapplied.com/download/en1993/flanged-profile-dxf/HEB320" TargetMode="External"/><Relationship Id="rId17" Type="http://schemas.openxmlformats.org/officeDocument/2006/relationships/hyperlink" Target="https://eurocodeapplied.com/download/en1993/flanged-profile-dxf/HEB500" TargetMode="External"/><Relationship Id="rId25" Type="http://schemas.openxmlformats.org/officeDocument/2006/relationships/table" Target="../tables/table3.xml"/><Relationship Id="rId2" Type="http://schemas.openxmlformats.org/officeDocument/2006/relationships/hyperlink" Target="https://eurocodeapplied.com/download/en1993/flanged-profile-dxf/HEB120" TargetMode="External"/><Relationship Id="rId16" Type="http://schemas.openxmlformats.org/officeDocument/2006/relationships/hyperlink" Target="https://eurocodeapplied.com/download/en1993/flanged-profile-dxf/HEB450" TargetMode="External"/><Relationship Id="rId20" Type="http://schemas.openxmlformats.org/officeDocument/2006/relationships/hyperlink" Target="https://eurocodeapplied.com/download/en1993/flanged-profile-dxf/HEB650" TargetMode="External"/><Relationship Id="rId1" Type="http://schemas.openxmlformats.org/officeDocument/2006/relationships/hyperlink" Target="https://eurocodeapplied.com/download/en1993/flanged-profile-dxf/HEB100" TargetMode="External"/><Relationship Id="rId6" Type="http://schemas.openxmlformats.org/officeDocument/2006/relationships/hyperlink" Target="https://eurocodeapplied.com/download/en1993/flanged-profile-dxf/HEB200" TargetMode="External"/><Relationship Id="rId11" Type="http://schemas.openxmlformats.org/officeDocument/2006/relationships/hyperlink" Target="https://eurocodeapplied.com/download/en1993/flanged-profile-dxf/HEB300" TargetMode="External"/><Relationship Id="rId24" Type="http://schemas.openxmlformats.org/officeDocument/2006/relationships/hyperlink" Target="https://eurocodeapplied.com/download/en1993/flanged-profile-dxf/HEB1000" TargetMode="External"/><Relationship Id="rId5" Type="http://schemas.openxmlformats.org/officeDocument/2006/relationships/hyperlink" Target="https://eurocodeapplied.com/download/en1993/flanged-profile-dxf/HEB180" TargetMode="External"/><Relationship Id="rId15" Type="http://schemas.openxmlformats.org/officeDocument/2006/relationships/hyperlink" Target="https://eurocodeapplied.com/download/en1993/flanged-profile-dxf/HEB400" TargetMode="External"/><Relationship Id="rId23" Type="http://schemas.openxmlformats.org/officeDocument/2006/relationships/hyperlink" Target="https://eurocodeapplied.com/download/en1993/flanged-profile-dxf/HEB900" TargetMode="External"/><Relationship Id="rId10" Type="http://schemas.openxmlformats.org/officeDocument/2006/relationships/hyperlink" Target="https://eurocodeapplied.com/download/en1993/flanged-profile-dxf/HEB280" TargetMode="External"/><Relationship Id="rId19" Type="http://schemas.openxmlformats.org/officeDocument/2006/relationships/hyperlink" Target="https://eurocodeapplied.com/download/en1993/flanged-profile-dxf/HEB600" TargetMode="External"/><Relationship Id="rId4" Type="http://schemas.openxmlformats.org/officeDocument/2006/relationships/hyperlink" Target="https://eurocodeapplied.com/download/en1993/flanged-profile-dxf/HEB160" TargetMode="External"/><Relationship Id="rId9" Type="http://schemas.openxmlformats.org/officeDocument/2006/relationships/hyperlink" Target="https://eurocodeapplied.com/download/en1993/flanged-profile-dxf/HEB260" TargetMode="External"/><Relationship Id="rId14" Type="http://schemas.openxmlformats.org/officeDocument/2006/relationships/hyperlink" Target="https://eurocodeapplied.com/download/en1993/flanged-profile-dxf/HEB360" TargetMode="External"/><Relationship Id="rId22" Type="http://schemas.openxmlformats.org/officeDocument/2006/relationships/hyperlink" Target="https://eurocodeapplied.com/download/en1993/flanged-profile-dxf/HEB80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linsgroup.com/MECHANICAL_DESIGN/Beam/beam.h1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9909-8824-47CA-B7F0-EA50016B5DD7}">
  <dimension ref="A1:AM28"/>
  <sheetViews>
    <sheetView zoomScaleNormal="100" workbookViewId="0">
      <pane ySplit="6" topLeftCell="A7" activePane="bottomLeft" state="frozen"/>
      <selection pane="bottomLeft" activeCell="J30" sqref="J30"/>
    </sheetView>
  </sheetViews>
  <sheetFormatPr defaultRowHeight="15" x14ac:dyDescent="0.25"/>
  <cols>
    <col min="1" max="1" width="58.28515625" customWidth="1"/>
    <col min="2" max="2" width="29" bestFit="1" customWidth="1"/>
    <col min="3" max="3" width="12" bestFit="1" customWidth="1"/>
    <col min="12" max="12" width="10.42578125" bestFit="1" customWidth="1"/>
    <col min="18" max="18" width="18" customWidth="1"/>
    <col min="20" max="20" width="13.5703125" customWidth="1"/>
    <col min="21" max="21" width="14.42578125" customWidth="1"/>
    <col min="22" max="22" width="12.140625" bestFit="1" customWidth="1"/>
    <col min="33" max="33" width="9.85546875" bestFit="1" customWidth="1"/>
    <col min="34" max="34" width="11.140625" bestFit="1" customWidth="1"/>
    <col min="35" max="35" width="12.140625" bestFit="1" customWidth="1"/>
    <col min="36" max="36" width="12.140625" customWidth="1"/>
    <col min="38" max="38" width="12.85546875" bestFit="1" customWidth="1"/>
  </cols>
  <sheetData>
    <row r="1" spans="1:39" x14ac:dyDescent="0.25">
      <c r="A1" s="14" t="s">
        <v>327</v>
      </c>
      <c r="B1" s="16" t="s">
        <v>143</v>
      </c>
    </row>
    <row r="2" spans="1:39" x14ac:dyDescent="0.25">
      <c r="B2" s="19" t="s">
        <v>144</v>
      </c>
    </row>
    <row r="4" spans="1:39" x14ac:dyDescent="0.25">
      <c r="N4" s="14" t="s">
        <v>218</v>
      </c>
      <c r="AA4" s="14" t="s">
        <v>219</v>
      </c>
    </row>
    <row r="5" spans="1:39" x14ac:dyDescent="0.25">
      <c r="A5" t="s">
        <v>296</v>
      </c>
      <c r="B5" t="s">
        <v>206</v>
      </c>
      <c r="E5" t="s">
        <v>118</v>
      </c>
      <c r="F5" t="s">
        <v>119</v>
      </c>
      <c r="G5" t="s">
        <v>226</v>
      </c>
      <c r="H5" t="s">
        <v>114</v>
      </c>
      <c r="I5" t="s">
        <v>217</v>
      </c>
      <c r="J5" t="s">
        <v>216</v>
      </c>
      <c r="K5" t="s">
        <v>26</v>
      </c>
      <c r="L5" t="s">
        <v>181</v>
      </c>
      <c r="N5" t="s">
        <v>208</v>
      </c>
      <c r="O5" t="s">
        <v>209</v>
      </c>
      <c r="P5" t="s">
        <v>123</v>
      </c>
      <c r="Q5" t="s">
        <v>124</v>
      </c>
      <c r="R5" t="s">
        <v>286</v>
      </c>
      <c r="S5" t="s">
        <v>125</v>
      </c>
      <c r="T5" t="s">
        <v>290</v>
      </c>
      <c r="U5" t="s">
        <v>291</v>
      </c>
      <c r="V5" t="s">
        <v>207</v>
      </c>
      <c r="W5" t="s">
        <v>113</v>
      </c>
      <c r="X5" t="s">
        <v>232</v>
      </c>
      <c r="Y5" t="s">
        <v>295</v>
      </c>
      <c r="AA5" t="s">
        <v>211</v>
      </c>
      <c r="AB5" t="s">
        <v>212</v>
      </c>
      <c r="AC5" t="s">
        <v>122</v>
      </c>
      <c r="AD5" t="s">
        <v>133</v>
      </c>
      <c r="AE5" t="s">
        <v>135</v>
      </c>
      <c r="AF5" t="s">
        <v>294</v>
      </c>
      <c r="AG5" t="s">
        <v>136</v>
      </c>
      <c r="AH5" t="s">
        <v>137</v>
      </c>
      <c r="AI5" t="s">
        <v>214</v>
      </c>
      <c r="AJ5" t="s">
        <v>263</v>
      </c>
      <c r="AK5" t="s">
        <v>215</v>
      </c>
      <c r="AL5" t="s">
        <v>323</v>
      </c>
      <c r="AM5" t="s">
        <v>133</v>
      </c>
    </row>
    <row r="6" spans="1:39" x14ac:dyDescent="0.25">
      <c r="E6" t="s">
        <v>30</v>
      </c>
      <c r="F6" t="s">
        <v>220</v>
      </c>
      <c r="G6" t="s">
        <v>220</v>
      </c>
      <c r="H6" t="s">
        <v>30</v>
      </c>
      <c r="I6" t="s">
        <v>221</v>
      </c>
      <c r="J6" t="s">
        <v>221</v>
      </c>
      <c r="K6" t="s">
        <v>182</v>
      </c>
      <c r="L6" t="s">
        <v>180</v>
      </c>
      <c r="P6" t="s">
        <v>222</v>
      </c>
      <c r="R6" t="s">
        <v>324</v>
      </c>
      <c r="S6" t="s">
        <v>16</v>
      </c>
      <c r="V6" t="s">
        <v>223</v>
      </c>
      <c r="W6" t="s">
        <v>223</v>
      </c>
      <c r="X6" t="s">
        <v>16</v>
      </c>
      <c r="AC6" t="s">
        <v>222</v>
      </c>
      <c r="AD6" t="s">
        <v>134</v>
      </c>
      <c r="AG6" t="s">
        <v>224</v>
      </c>
      <c r="AH6" t="s">
        <v>225</v>
      </c>
      <c r="AI6" t="s">
        <v>225</v>
      </c>
      <c r="AL6" t="s">
        <v>326</v>
      </c>
    </row>
    <row r="7" spans="1:39" x14ac:dyDescent="0.25">
      <c r="A7" s="16" t="s">
        <v>325</v>
      </c>
      <c r="B7" s="16" t="s">
        <v>227</v>
      </c>
      <c r="C7" s="17" t="s">
        <v>202</v>
      </c>
      <c r="D7" s="17" t="s">
        <v>196</v>
      </c>
      <c r="E7" s="34">
        <v>8</v>
      </c>
      <c r="F7" s="34">
        <v>1.5</v>
      </c>
      <c r="G7" s="34">
        <v>2.4</v>
      </c>
      <c r="H7" s="34">
        <f>8.45/2</f>
        <v>4.2249999999999996</v>
      </c>
      <c r="I7" s="15">
        <f ca="1">Y7</f>
        <v>0.80377264612052546</v>
      </c>
      <c r="J7" s="15">
        <f ca="1">AK7</f>
        <v>0.59744122103136732</v>
      </c>
      <c r="K7" s="20">
        <f ca="1">VLOOKUP(D7,INDIRECT(C7),8,FALSE)</f>
        <v>57.1</v>
      </c>
      <c r="L7" s="32">
        <f ca="1">K7*E7</f>
        <v>456.8</v>
      </c>
      <c r="M7" s="35">
        <f ca="1">L7</f>
        <v>456.8</v>
      </c>
      <c r="N7" s="16">
        <v>1</v>
      </c>
      <c r="O7" s="16">
        <v>1</v>
      </c>
      <c r="P7" s="20">
        <f>H7*(N7*F7+O7*G7)</f>
        <v>16.477499999999999</v>
      </c>
      <c r="Q7" s="16">
        <v>250</v>
      </c>
      <c r="R7" s="16"/>
      <c r="S7" s="20">
        <f>MIN(E7*1000/Q7,R7)</f>
        <v>32</v>
      </c>
      <c r="T7" s="20">
        <f>VLOOKUP(A7,bjelkemodell_tabell[],6,FALSE)</f>
        <v>5</v>
      </c>
      <c r="U7" s="20">
        <f>VLOOKUP(A7,bjelkemodell_tabell[],7,FALSE)</f>
        <v>384</v>
      </c>
      <c r="V7" s="20">
        <f>T7*P7*(E7*1000)^4/(U7*210000*S7)/(10^6)</f>
        <v>130.77380952380949</v>
      </c>
      <c r="W7" s="20">
        <f ca="1">VLOOKUP(D7,INDIRECT(C7),13,FALSE)</f>
        <v>162.69999999999999</v>
      </c>
      <c r="X7" s="20">
        <f ca="1">T7*P7*E7^4/(U7*210000*W7)*1000000</f>
        <v>25.720724675856815</v>
      </c>
      <c r="Y7" s="15">
        <f ca="1">X7/S7</f>
        <v>0.80377264612052546</v>
      </c>
      <c r="AA7" s="16">
        <v>1.2</v>
      </c>
      <c r="AB7" s="16">
        <v>1.5</v>
      </c>
      <c r="AC7" s="20">
        <f>H7*(AA7*F7+AB7*G7)</f>
        <v>22.814999999999994</v>
      </c>
      <c r="AD7" s="20">
        <f>AC7*E7^2/8</f>
        <v>182.51999999999995</v>
      </c>
      <c r="AE7" s="16">
        <v>355</v>
      </c>
      <c r="AF7" s="63">
        <v>1.05</v>
      </c>
      <c r="AG7" s="20">
        <f>AE7/AF7</f>
        <v>338.09523809523807</v>
      </c>
      <c r="AH7" s="20">
        <f>AD7*10^6/AG7/1000</f>
        <v>539.8478873239435</v>
      </c>
      <c r="AI7" s="20">
        <f ca="1">VLOOKUP(D7,INDIRECT(C7),15,FALSE)</f>
        <v>903.6</v>
      </c>
      <c r="AJ7" s="20">
        <f ca="1">AI7*AG7*0.001</f>
        <v>305.50285714285718</v>
      </c>
      <c r="AK7" s="15">
        <f ca="1">AH7/AI7</f>
        <v>0.59744122103136732</v>
      </c>
      <c r="AL7" s="20">
        <f>VLOOKUP(A7,bjelkemodell_tabell[],8,FALSE)/VLOOKUP(A7,bjelkemodell_tabell[],9,FALSE)*AC7*E7</f>
        <v>91.259999999999977</v>
      </c>
      <c r="AM7" s="20">
        <f>VLOOKUP(A7,bjelkemodell_tabell[],10,FALSE)/VLOOKUP(A7,bjelkemodell_tabell[],11,FALSE)*AC7*E7^2</f>
        <v>182.51999999999995</v>
      </c>
    </row>
    <row r="8" spans="1:39" x14ac:dyDescent="0.25">
      <c r="A8" s="16" t="s">
        <v>315</v>
      </c>
      <c r="B8" s="16" t="s">
        <v>227</v>
      </c>
      <c r="C8" s="17" t="s">
        <v>202</v>
      </c>
      <c r="D8" s="17" t="s">
        <v>196</v>
      </c>
      <c r="E8" s="16">
        <v>4</v>
      </c>
      <c r="F8" s="16">
        <f t="shared" ref="F8:H9" si="0">F7</f>
        <v>1.5</v>
      </c>
      <c r="G8" s="16">
        <f t="shared" si="0"/>
        <v>2.4</v>
      </c>
      <c r="H8" s="16">
        <f t="shared" si="0"/>
        <v>4.2249999999999996</v>
      </c>
      <c r="I8" s="15">
        <f ca="1">Y8</f>
        <v>0.96452717534463062</v>
      </c>
      <c r="J8" s="15">
        <f ca="1">AK8</f>
        <v>0.14936030525784183</v>
      </c>
      <c r="K8" s="20">
        <f ca="1">VLOOKUP(D8,INDIRECT(C8),8,FALSE)</f>
        <v>57.1</v>
      </c>
      <c r="L8" s="32">
        <f ca="1">K8*E8</f>
        <v>228.4</v>
      </c>
      <c r="M8" s="35">
        <f ca="1">L8</f>
        <v>228.4</v>
      </c>
      <c r="N8" s="16">
        <v>1</v>
      </c>
      <c r="O8" s="16">
        <v>1</v>
      </c>
      <c r="P8" s="20">
        <f>H8*(N8*F8+O8*G8)</f>
        <v>16.477499999999999</v>
      </c>
      <c r="Q8" s="16">
        <v>250</v>
      </c>
      <c r="R8" s="16"/>
      <c r="S8" s="20">
        <f>E8*1000/Q8</f>
        <v>16</v>
      </c>
      <c r="T8" s="20">
        <f>VLOOKUP(A8,bjelkemodell_tabell[],6,FALSE)</f>
        <v>1</v>
      </c>
      <c r="U8" s="20">
        <f>VLOOKUP(A8,bjelkemodell_tabell[],7,FALSE)</f>
        <v>8</v>
      </c>
      <c r="V8" s="20">
        <f>T8*P8*(E8*1000)^4/(U8*210000*S8)/(10^6)</f>
        <v>156.92857142857144</v>
      </c>
      <c r="W8" s="20">
        <f ca="1">VLOOKUP(D8,INDIRECT(C8),13,FALSE)</f>
        <v>162.69999999999999</v>
      </c>
      <c r="X8" s="20">
        <f ca="1">T8*P8*E8^4/(U8*210000*W8)*1000000</f>
        <v>15.43243480551409</v>
      </c>
      <c r="Y8" s="15">
        <f t="shared" ref="Y8:Y9" ca="1" si="1">X8/S8</f>
        <v>0.96452717534463062</v>
      </c>
      <c r="AA8" s="16">
        <v>1.2</v>
      </c>
      <c r="AB8" s="16">
        <v>1.5</v>
      </c>
      <c r="AC8" s="20">
        <f>H8*(AA8*F8+AB8*G8)</f>
        <v>22.814999999999994</v>
      </c>
      <c r="AD8" s="20">
        <f>AC8*E8^2/8</f>
        <v>45.629999999999988</v>
      </c>
      <c r="AE8" s="16">
        <v>355</v>
      </c>
      <c r="AF8" s="63">
        <v>1.05</v>
      </c>
      <c r="AG8" s="20">
        <f t="shared" ref="AG8:AG9" si="2">AE8/AF8</f>
        <v>338.09523809523807</v>
      </c>
      <c r="AH8" s="20">
        <f>AD8*10^6/AG8/1000</f>
        <v>134.96197183098587</v>
      </c>
      <c r="AI8" s="20">
        <f ca="1">VLOOKUP(D8,INDIRECT(C8),15,FALSE)</f>
        <v>903.6</v>
      </c>
      <c r="AJ8" s="20">
        <f t="shared" ref="AJ8:AJ9" ca="1" si="3">AI8*AG8*0.001</f>
        <v>305.50285714285718</v>
      </c>
      <c r="AK8" s="15">
        <f ca="1">AH8/AI8</f>
        <v>0.14936030525784183</v>
      </c>
      <c r="AL8" s="20">
        <f>VLOOKUP(A8,bjelkemodell_tabell[],8,FALSE)/VLOOKUP(A8,bjelkemodell_tabell[],9,FALSE)*AC8*E8</f>
        <v>91.259999999999977</v>
      </c>
      <c r="AM8" s="20">
        <f>VLOOKUP(A8,bjelkemodell_tabell[],10,FALSE)/VLOOKUP(A8,bjelkemodell_tabell[],11,FALSE)*AC8*E8^2</f>
        <v>182.51999999999995</v>
      </c>
    </row>
    <row r="9" spans="1:39" x14ac:dyDescent="0.25">
      <c r="A9" s="16" t="s">
        <v>320</v>
      </c>
      <c r="B9" s="16" t="s">
        <v>227</v>
      </c>
      <c r="C9" s="17" t="s">
        <v>202</v>
      </c>
      <c r="D9" s="17" t="s">
        <v>196</v>
      </c>
      <c r="E9" s="16">
        <v>8</v>
      </c>
      <c r="F9" s="16">
        <f t="shared" si="0"/>
        <v>1.5</v>
      </c>
      <c r="G9" s="16">
        <f t="shared" si="0"/>
        <v>2.4</v>
      </c>
      <c r="H9" s="16">
        <f t="shared" si="0"/>
        <v>4.2249999999999996</v>
      </c>
      <c r="I9" s="15">
        <f ca="1">Y9</f>
        <v>0.33367426606516959</v>
      </c>
      <c r="J9" s="15">
        <f ca="1">AK9</f>
        <v>0.59744122103136732</v>
      </c>
      <c r="K9" s="20">
        <f ca="1">VLOOKUP(D9,INDIRECT(C9),8,FALSE)</f>
        <v>57.1</v>
      </c>
      <c r="L9" s="32">
        <f ca="1">K9*E9</f>
        <v>456.8</v>
      </c>
      <c r="M9" s="35">
        <f ca="1">L9</f>
        <v>456.8</v>
      </c>
      <c r="N9" s="16">
        <v>1</v>
      </c>
      <c r="O9" s="16">
        <v>1</v>
      </c>
      <c r="P9" s="20">
        <f>H9*(N9*F9+O9*G9)</f>
        <v>16.477499999999999</v>
      </c>
      <c r="Q9" s="16">
        <v>250</v>
      </c>
      <c r="R9" s="16"/>
      <c r="S9" s="20">
        <f>E9*1000/Q9</f>
        <v>32</v>
      </c>
      <c r="T9" s="20">
        <f>VLOOKUP(A9,bjelkemodell_tabell[],6,FALSE)</f>
        <v>1</v>
      </c>
      <c r="U9" s="20">
        <f>VLOOKUP(A9,bjelkemodell_tabell[],7,FALSE)</f>
        <v>185</v>
      </c>
      <c r="V9" s="20">
        <f>T9*P9*(E9*1000)^4/(U9*210000*S9)/(10^6)</f>
        <v>54.288803088803093</v>
      </c>
      <c r="W9" s="20">
        <f ca="1">VLOOKUP(D9,INDIRECT(C9),13,FALSE)</f>
        <v>162.69999999999999</v>
      </c>
      <c r="X9" s="20">
        <f t="shared" ref="X9" ca="1" si="4">T9*P9*E9^4/(U9*210000*W9)*1000000</f>
        <v>10.677576514085427</v>
      </c>
      <c r="Y9" s="15">
        <f t="shared" ca="1" si="1"/>
        <v>0.33367426606516959</v>
      </c>
      <c r="AA9" s="16">
        <v>1.2</v>
      </c>
      <c r="AB9" s="16">
        <v>1.5</v>
      </c>
      <c r="AC9" s="20">
        <f>H9*(AA9*F9+AB9*G9)</f>
        <v>22.814999999999994</v>
      </c>
      <c r="AD9" s="20">
        <f>AC9*E9^2/8</f>
        <v>182.51999999999995</v>
      </c>
      <c r="AE9" s="16">
        <v>355</v>
      </c>
      <c r="AF9" s="63">
        <v>1.05</v>
      </c>
      <c r="AG9" s="20">
        <f t="shared" si="2"/>
        <v>338.09523809523807</v>
      </c>
      <c r="AH9" s="20">
        <f>AD9*10^6/AG9/1000</f>
        <v>539.8478873239435</v>
      </c>
      <c r="AI9" s="20">
        <f ca="1">VLOOKUP(D9,INDIRECT(C9),15,FALSE)</f>
        <v>903.6</v>
      </c>
      <c r="AJ9" s="20">
        <f t="shared" ca="1" si="3"/>
        <v>305.50285714285718</v>
      </c>
      <c r="AK9" s="15">
        <f ca="1">AH9/AI9</f>
        <v>0.59744122103136732</v>
      </c>
      <c r="AL9" s="20">
        <f>VLOOKUP(A9,bjelkemodell_tabell[],8,FALSE)/VLOOKUP(A9,bjelkemodell_tabell[],9,FALSE)*AC9*E9</f>
        <v>114.07499999999997</v>
      </c>
      <c r="AM9" s="20">
        <f>VLOOKUP(A9,bjelkemodell_tabell[],10,FALSE)/VLOOKUP(A9,bjelkemodell_tabell[],11,FALSE)*AC9*E9^2</f>
        <v>182.51999999999995</v>
      </c>
    </row>
    <row r="11" spans="1:39" x14ac:dyDescent="0.25">
      <c r="A11" s="16" t="s">
        <v>325</v>
      </c>
      <c r="B11" s="16" t="s">
        <v>227</v>
      </c>
      <c r="C11" s="17" t="s">
        <v>202</v>
      </c>
      <c r="D11" s="17" t="s">
        <v>191</v>
      </c>
      <c r="E11" s="34">
        <v>5</v>
      </c>
      <c r="F11" s="34">
        <v>1.1000000000000001</v>
      </c>
      <c r="G11" s="34">
        <v>2.4</v>
      </c>
      <c r="H11" s="34">
        <v>3.2250000000000001</v>
      </c>
      <c r="I11" s="15">
        <f t="shared" ref="I11:I13" ca="1" si="5">Y11</f>
        <v>0.94679354933261173</v>
      </c>
      <c r="J11" s="15">
        <f t="shared" ref="J11:J13" ca="1" si="6">AK11</f>
        <v>0.58197623239436624</v>
      </c>
      <c r="K11" s="20">
        <f t="shared" ref="K11:K13" ca="1" si="7">VLOOKUP(D11,INDIRECT(C11),8,FALSE)</f>
        <v>26.2</v>
      </c>
      <c r="L11" s="32">
        <f t="shared" ref="L11:L13" ca="1" si="8">K11*E11</f>
        <v>131</v>
      </c>
      <c r="M11" s="35">
        <f t="shared" ref="M11:M13" ca="1" si="9">L11</f>
        <v>131</v>
      </c>
      <c r="N11" s="16">
        <v>1</v>
      </c>
      <c r="O11" s="16">
        <v>1</v>
      </c>
      <c r="P11" s="20">
        <f t="shared" ref="P11:P13" si="10">H11*(N11*F11+O11*G11)</f>
        <v>11.2875</v>
      </c>
      <c r="Q11" s="16">
        <v>300</v>
      </c>
      <c r="R11" s="16"/>
      <c r="S11" s="20">
        <f t="shared" ref="S11:S13" si="11">MIN(E11*1000/Q11,R11)</f>
        <v>16.666666666666668</v>
      </c>
      <c r="T11" s="20">
        <f>VLOOKUP(A11,bjelkemodell_tabell[],6,FALSE)</f>
        <v>5</v>
      </c>
      <c r="U11" s="20">
        <f>VLOOKUP(A11,bjelkemodell_tabell[],7,FALSE)</f>
        <v>384</v>
      </c>
      <c r="V11" s="20">
        <f t="shared" ref="V11:V13" si="12">T11*P11*(E11*1000)^4/(U11*210000*S11)/(10^6)</f>
        <v>26.2451171875</v>
      </c>
      <c r="W11" s="20">
        <f t="shared" ref="W11:W13" ca="1" si="13">VLOOKUP(D11,INDIRECT(C11),13,FALSE)</f>
        <v>27.72</v>
      </c>
      <c r="X11" s="20">
        <f t="shared" ref="X11:X13" ca="1" si="14">T11*P11*E11^4/(U11*210000*W11)*1000000</f>
        <v>15.779892488876863</v>
      </c>
      <c r="Y11" s="15">
        <f t="shared" ref="Y11:Y13" ca="1" si="15">X11/S11</f>
        <v>0.94679354933261173</v>
      </c>
      <c r="AA11" s="16">
        <v>1.2</v>
      </c>
      <c r="AB11" s="16">
        <v>1.5</v>
      </c>
      <c r="AC11" s="20">
        <f t="shared" ref="AC11:AC13" si="16">H11*(AA11*F11+AB11*G11)</f>
        <v>15.867000000000001</v>
      </c>
      <c r="AD11" s="20">
        <f t="shared" ref="AD11:AD13" si="17">AC11*E11^2/8</f>
        <v>49.584375000000001</v>
      </c>
      <c r="AE11" s="16">
        <v>355</v>
      </c>
      <c r="AF11" s="63">
        <v>1.05</v>
      </c>
      <c r="AG11" s="20">
        <f t="shared" ref="AG11:AG13" si="18">AE11/AF11</f>
        <v>338.09523809523807</v>
      </c>
      <c r="AH11" s="20">
        <f t="shared" ref="AH11:AH13" si="19">AD11*10^6/AG11/1000</f>
        <v>146.65801056338029</v>
      </c>
      <c r="AI11" s="20">
        <f t="shared" ref="AI11:AI13" ca="1" si="20">VLOOKUP(D11,INDIRECT(C11),15,FALSE)</f>
        <v>252</v>
      </c>
      <c r="AJ11" s="20">
        <f t="shared" ref="AJ11:AJ13" ca="1" si="21">AI11*AG11*0.001</f>
        <v>85.2</v>
      </c>
      <c r="AK11" s="15">
        <f t="shared" ref="AK11:AK13" ca="1" si="22">AH11/AI11</f>
        <v>0.58197623239436624</v>
      </c>
      <c r="AL11" s="20">
        <f>VLOOKUP(A11,bjelkemodell_tabell[],8,FALSE)/VLOOKUP(A11,bjelkemodell_tabell[],9,FALSE)*AC11*E11</f>
        <v>39.667500000000004</v>
      </c>
      <c r="AM11" s="20">
        <f>VLOOKUP(A11,bjelkemodell_tabell[],10,FALSE)/VLOOKUP(A11,bjelkemodell_tabell[],11,FALSE)*AC11*E11^2</f>
        <v>49.584375000000001</v>
      </c>
    </row>
    <row r="12" spans="1:39" x14ac:dyDescent="0.25">
      <c r="A12" s="16" t="s">
        <v>325</v>
      </c>
      <c r="B12" s="16" t="s">
        <v>227</v>
      </c>
      <c r="C12" s="17" t="s">
        <v>130</v>
      </c>
      <c r="D12" s="17" t="s">
        <v>89</v>
      </c>
      <c r="E12" s="34">
        <f t="shared" ref="E12:G13" si="23">E11</f>
        <v>5</v>
      </c>
      <c r="F12" s="34">
        <f t="shared" si="23"/>
        <v>1.1000000000000001</v>
      </c>
      <c r="G12" s="34">
        <f t="shared" si="23"/>
        <v>2.4</v>
      </c>
      <c r="H12" s="34">
        <f>H11</f>
        <v>3.2250000000000001</v>
      </c>
      <c r="I12" s="15">
        <f t="shared" ca="1" si="5"/>
        <v>0.59238707989120631</v>
      </c>
      <c r="J12" s="15">
        <f t="shared" ca="1" si="6"/>
        <v>0.37740095358564146</v>
      </c>
      <c r="K12" s="20">
        <f t="shared" ca="1" si="7"/>
        <v>42.3</v>
      </c>
      <c r="L12" s="32">
        <f t="shared" ca="1" si="8"/>
        <v>211.5</v>
      </c>
      <c r="M12" s="35">
        <f t="shared" ca="1" si="9"/>
        <v>211.5</v>
      </c>
      <c r="N12" s="16">
        <v>1</v>
      </c>
      <c r="O12" s="16">
        <v>1</v>
      </c>
      <c r="P12" s="20">
        <f t="shared" si="10"/>
        <v>11.2875</v>
      </c>
      <c r="Q12" s="16">
        <v>250</v>
      </c>
      <c r="R12" s="16"/>
      <c r="S12" s="20">
        <f t="shared" si="11"/>
        <v>20</v>
      </c>
      <c r="T12" s="20">
        <f>VLOOKUP(A12,bjelkemodell_tabell[],6,FALSE)</f>
        <v>5</v>
      </c>
      <c r="U12" s="20">
        <f>VLOOKUP(A12,bjelkemodell_tabell[],7,FALSE)</f>
        <v>384</v>
      </c>
      <c r="V12" s="20">
        <f t="shared" si="12"/>
        <v>21.870930989583332</v>
      </c>
      <c r="W12" s="20">
        <f t="shared" ca="1" si="13"/>
        <v>36.92</v>
      </c>
      <c r="X12" s="20">
        <f t="shared" ca="1" si="14"/>
        <v>11.847741597824125</v>
      </c>
      <c r="Y12" s="15">
        <f t="shared" ca="1" si="15"/>
        <v>0.59238707989120631</v>
      </c>
      <c r="AA12" s="16">
        <v>1.2</v>
      </c>
      <c r="AB12" s="16">
        <v>1.5</v>
      </c>
      <c r="AC12" s="20">
        <f t="shared" si="16"/>
        <v>15.867000000000001</v>
      </c>
      <c r="AD12" s="20">
        <f t="shared" si="17"/>
        <v>49.584375000000001</v>
      </c>
      <c r="AE12" s="16">
        <v>355</v>
      </c>
      <c r="AF12" s="63">
        <v>1.05</v>
      </c>
      <c r="AG12" s="20">
        <f t="shared" si="18"/>
        <v>338.09523809523807</v>
      </c>
      <c r="AH12" s="20">
        <f t="shared" si="19"/>
        <v>146.65801056338029</v>
      </c>
      <c r="AI12" s="20">
        <f t="shared" ca="1" si="20"/>
        <v>388.6</v>
      </c>
      <c r="AJ12" s="20">
        <f t="shared" ca="1" si="21"/>
        <v>131.38380952380953</v>
      </c>
      <c r="AK12" s="15">
        <f t="shared" ca="1" si="22"/>
        <v>0.37740095358564146</v>
      </c>
      <c r="AL12" s="20">
        <f>VLOOKUP(A12,bjelkemodell_tabell[],8,FALSE)/VLOOKUP(A12,bjelkemodell_tabell[],9,FALSE)*AC12*E12</f>
        <v>39.667500000000004</v>
      </c>
      <c r="AM12" s="20">
        <f>VLOOKUP(A12,bjelkemodell_tabell[],10,FALSE)/VLOOKUP(A12,bjelkemodell_tabell[],11,FALSE)*AC12*E12^2</f>
        <v>49.584375000000001</v>
      </c>
    </row>
    <row r="13" spans="1:39" x14ac:dyDescent="0.25">
      <c r="A13" s="16" t="s">
        <v>325</v>
      </c>
      <c r="B13" s="16" t="s">
        <v>227</v>
      </c>
      <c r="C13" s="17" t="s">
        <v>202</v>
      </c>
      <c r="D13" s="17" t="s">
        <v>196</v>
      </c>
      <c r="E13" s="34">
        <f t="shared" si="23"/>
        <v>5</v>
      </c>
      <c r="F13" s="34">
        <f t="shared" si="23"/>
        <v>1.1000000000000001</v>
      </c>
      <c r="G13" s="34">
        <f t="shared" si="23"/>
        <v>2.4</v>
      </c>
      <c r="H13" s="34">
        <f t="shared" ref="H13" si="24">H12</f>
        <v>3.2250000000000001</v>
      </c>
      <c r="I13" s="15">
        <f t="shared" ca="1" si="5"/>
        <v>0.13442489852233147</v>
      </c>
      <c r="J13" s="15">
        <f t="shared" ca="1" si="6"/>
        <v>0.16230412855619775</v>
      </c>
      <c r="K13" s="20">
        <f t="shared" ca="1" si="7"/>
        <v>57.1</v>
      </c>
      <c r="L13" s="32">
        <f t="shared" ca="1" si="8"/>
        <v>285.5</v>
      </c>
      <c r="M13" s="35">
        <f t="shared" ca="1" si="9"/>
        <v>285.5</v>
      </c>
      <c r="N13" s="16">
        <v>1</v>
      </c>
      <c r="O13" s="16">
        <v>1</v>
      </c>
      <c r="P13" s="20">
        <f t="shared" si="10"/>
        <v>11.2875</v>
      </c>
      <c r="Q13" s="16">
        <v>250</v>
      </c>
      <c r="R13" s="16"/>
      <c r="S13" s="20">
        <f t="shared" si="11"/>
        <v>20</v>
      </c>
      <c r="T13" s="20">
        <f>VLOOKUP(A13,bjelkemodell_tabell[],6,FALSE)</f>
        <v>5</v>
      </c>
      <c r="U13" s="20">
        <f>VLOOKUP(A13,bjelkemodell_tabell[],7,FALSE)</f>
        <v>384</v>
      </c>
      <c r="V13" s="20">
        <f t="shared" si="12"/>
        <v>21.870930989583332</v>
      </c>
      <c r="W13" s="20">
        <f t="shared" ca="1" si="13"/>
        <v>162.69999999999999</v>
      </c>
      <c r="X13" s="20">
        <f t="shared" ca="1" si="14"/>
        <v>2.6884979704466296</v>
      </c>
      <c r="Y13" s="15">
        <f t="shared" ca="1" si="15"/>
        <v>0.13442489852233147</v>
      </c>
      <c r="AA13" s="16">
        <v>1.2</v>
      </c>
      <c r="AB13" s="16">
        <v>1.5</v>
      </c>
      <c r="AC13" s="20">
        <f t="shared" si="16"/>
        <v>15.867000000000001</v>
      </c>
      <c r="AD13" s="20">
        <f t="shared" si="17"/>
        <v>49.584375000000001</v>
      </c>
      <c r="AE13" s="16">
        <v>355</v>
      </c>
      <c r="AF13" s="63">
        <v>1.05</v>
      </c>
      <c r="AG13" s="20">
        <f t="shared" si="18"/>
        <v>338.09523809523807</v>
      </c>
      <c r="AH13" s="20">
        <f t="shared" si="19"/>
        <v>146.65801056338029</v>
      </c>
      <c r="AI13" s="20">
        <f t="shared" ca="1" si="20"/>
        <v>903.6</v>
      </c>
      <c r="AJ13" s="20">
        <f t="shared" ca="1" si="21"/>
        <v>305.50285714285718</v>
      </c>
      <c r="AK13" s="15">
        <f t="shared" ca="1" si="22"/>
        <v>0.16230412855619775</v>
      </c>
      <c r="AL13" s="20">
        <f>VLOOKUP(A13,bjelkemodell_tabell[],8,FALSE)/VLOOKUP(A13,bjelkemodell_tabell[],9,FALSE)*AC13*E13</f>
        <v>39.667500000000004</v>
      </c>
      <c r="AM13" s="20">
        <f>VLOOKUP(A13,bjelkemodell_tabell[],10,FALSE)/VLOOKUP(A13,bjelkemodell_tabell[],11,FALSE)*AC13*E13^2</f>
        <v>49.584375000000001</v>
      </c>
    </row>
    <row r="15" spans="1:39" x14ac:dyDescent="0.25">
      <c r="A15" s="16" t="s">
        <v>325</v>
      </c>
      <c r="B15" s="16" t="s">
        <v>227</v>
      </c>
      <c r="C15" s="17" t="s">
        <v>202</v>
      </c>
      <c r="D15" s="17" t="s">
        <v>195</v>
      </c>
      <c r="E15" s="34">
        <v>7.85</v>
      </c>
      <c r="F15" s="34">
        <f>0.6+0.35</f>
        <v>0.95</v>
      </c>
      <c r="G15" s="34">
        <v>2.4</v>
      </c>
      <c r="H15" s="34">
        <v>1.4</v>
      </c>
      <c r="I15" s="15">
        <f t="shared" ref="I15" ca="1" si="25">Y15</f>
        <v>0.93819797684330875</v>
      </c>
      <c r="J15" s="15">
        <f t="shared" ref="J15" ca="1" si="26">AK15</f>
        <v>0.2120148170258403</v>
      </c>
      <c r="K15" s="20">
        <f t="shared" ref="K15" ca="1" si="27">VLOOKUP(D15,INDIRECT(C15),8,FALSE)</f>
        <v>49.1</v>
      </c>
      <c r="L15" s="32">
        <f t="shared" ref="L15" ca="1" si="28">K15*E15</f>
        <v>385.435</v>
      </c>
      <c r="M15" s="35">
        <f t="shared" ref="M15" ca="1" si="29">L15</f>
        <v>385.435</v>
      </c>
      <c r="N15" s="16">
        <v>1</v>
      </c>
      <c r="O15" s="16">
        <v>1</v>
      </c>
      <c r="P15" s="20">
        <f t="shared" ref="P15" si="30">H15*(N15*F15+O15*G15)</f>
        <v>4.6899999999999995</v>
      </c>
      <c r="Q15" s="16">
        <v>250</v>
      </c>
      <c r="R15" s="16">
        <v>10</v>
      </c>
      <c r="S15" s="20">
        <f t="shared" ref="S15" si="31">MIN(E15*1000/Q15,R15)</f>
        <v>10</v>
      </c>
      <c r="T15" s="20">
        <f>VLOOKUP(A15,bjelkemodell_tabell[],6,FALSE)</f>
        <v>5</v>
      </c>
      <c r="U15" s="20">
        <f>VLOOKUP(A15,bjelkemodell_tabell[],7,FALSE)</f>
        <v>384</v>
      </c>
      <c r="V15" s="20">
        <f t="shared" ref="V15" si="32">T15*P15*(E15*1000)^4/(U15*210000*S15)/(10^6)</f>
        <v>110.42590187445744</v>
      </c>
      <c r="W15" s="20">
        <f t="shared" ref="W15" ca="1" si="33">VLOOKUP(D15,INDIRECT(C15),13,FALSE)</f>
        <v>117.7</v>
      </c>
      <c r="X15" s="20">
        <f t="shared" ref="X15" ca="1" si="34">T15*P15*E15^4/(U15*210000*W15)*1000000</f>
        <v>9.3819797684330872</v>
      </c>
      <c r="Y15" s="15">
        <f t="shared" ref="Y15" ca="1" si="35">X15/S15</f>
        <v>0.93819797684330875</v>
      </c>
      <c r="AA15" s="16">
        <v>1.2</v>
      </c>
      <c r="AB15" s="16">
        <v>1.5</v>
      </c>
      <c r="AC15" s="20">
        <f t="shared" ref="AC15" si="36">H15*(AA15*F15+AB15*G15)</f>
        <v>6.6359999999999983</v>
      </c>
      <c r="AD15" s="20">
        <f t="shared" ref="AD15" si="37">AC15*E15^2/8</f>
        <v>51.115863749999981</v>
      </c>
      <c r="AE15" s="16">
        <v>355</v>
      </c>
      <c r="AF15" s="63">
        <v>1.05</v>
      </c>
      <c r="AG15" s="20">
        <f t="shared" ref="AG15" si="38">AE15/AF15</f>
        <v>338.09523809523807</v>
      </c>
      <c r="AH15" s="20">
        <f t="shared" ref="AH15" si="39">AD15*10^6/AG15/1000</f>
        <v>151.18776602112672</v>
      </c>
      <c r="AI15" s="20">
        <f t="shared" ref="AI15" ca="1" si="40">VLOOKUP(D15,INDIRECT(C15),15,FALSE)</f>
        <v>713.1</v>
      </c>
      <c r="AJ15" s="20">
        <f t="shared" ref="AJ15" ca="1" si="41">AI15*AG15*0.001</f>
        <v>241.09571428571431</v>
      </c>
      <c r="AK15" s="15">
        <f t="shared" ref="AK15" ca="1" si="42">AH15/AI15</f>
        <v>0.2120148170258403</v>
      </c>
      <c r="AL15" s="20">
        <f>VLOOKUP(A15,bjelkemodell_tabell[],8,FALSE)/VLOOKUP(A15,bjelkemodell_tabell[],9,FALSE)*AC15*E15</f>
        <v>26.046299999999992</v>
      </c>
      <c r="AM15" s="20">
        <f>VLOOKUP(A15,bjelkemodell_tabell[],10,FALSE)/VLOOKUP(A15,bjelkemodell_tabell[],11,FALSE)*AC15*E15^2</f>
        <v>51.115863749999981</v>
      </c>
    </row>
    <row r="16" spans="1:39" x14ac:dyDescent="0.25">
      <c r="A16" s="16" t="s">
        <v>325</v>
      </c>
      <c r="B16" s="16" t="s">
        <v>227</v>
      </c>
      <c r="C16" s="17" t="s">
        <v>202</v>
      </c>
      <c r="D16" s="17" t="s">
        <v>192</v>
      </c>
      <c r="E16" s="34">
        <v>6</v>
      </c>
      <c r="F16" s="34">
        <f>0.6+0.35</f>
        <v>0.95</v>
      </c>
      <c r="G16" s="34">
        <v>2.4</v>
      </c>
      <c r="H16" s="34">
        <v>1.4</v>
      </c>
      <c r="I16" s="15">
        <f t="shared" ref="I16" ca="1" si="43">Y16</f>
        <v>0.96833247687564206</v>
      </c>
      <c r="J16" s="15">
        <f t="shared" ref="J16" ca="1" si="44">AK16</f>
        <v>0.27235345467811484</v>
      </c>
      <c r="K16" s="20">
        <f t="shared" ref="K16" ca="1" si="45">VLOOKUP(D16,INDIRECT(C16),8,FALSE)</f>
        <v>30.7</v>
      </c>
      <c r="L16" s="32">
        <f t="shared" ref="L16" ca="1" si="46">K16*E16</f>
        <v>184.2</v>
      </c>
      <c r="M16" s="35">
        <f t="shared" ref="M16" ca="1" si="47">L16</f>
        <v>184.2</v>
      </c>
      <c r="N16" s="16">
        <v>1</v>
      </c>
      <c r="O16" s="16">
        <v>1</v>
      </c>
      <c r="P16" s="20">
        <f t="shared" ref="P16" si="48">H16*(N16*F16+O16*G16)</f>
        <v>4.6899999999999995</v>
      </c>
      <c r="Q16" s="16">
        <v>250</v>
      </c>
      <c r="R16" s="16">
        <v>10</v>
      </c>
      <c r="S16" s="20">
        <f t="shared" ref="S16" si="49">MIN(E16*1000/Q16,R16)</f>
        <v>10</v>
      </c>
      <c r="T16" s="20">
        <f>VLOOKUP(A16,bjelkemodell_tabell[],6,FALSE)</f>
        <v>5</v>
      </c>
      <c r="U16" s="20">
        <f>VLOOKUP(A16,bjelkemodell_tabell[],7,FALSE)</f>
        <v>384</v>
      </c>
      <c r="V16" s="20">
        <f t="shared" ref="V16" si="50">T16*P16*(E16*1000)^4/(U16*210000*S16)/(10^6)</f>
        <v>37.687499999999993</v>
      </c>
      <c r="W16" s="20">
        <f t="shared" ref="W16" ca="1" si="51">VLOOKUP(D16,INDIRECT(C16),13,FALSE)</f>
        <v>38.92</v>
      </c>
      <c r="X16" s="20">
        <f t="shared" ref="X16" ca="1" si="52">T16*P16*E16^4/(U16*210000*W16)*1000000</f>
        <v>9.683324768756421</v>
      </c>
      <c r="Y16" s="15">
        <f t="shared" ref="Y16" ca="1" si="53">X16/S16</f>
        <v>0.96833247687564206</v>
      </c>
      <c r="AA16" s="16">
        <v>1.2</v>
      </c>
      <c r="AB16" s="16">
        <v>1.5</v>
      </c>
      <c r="AC16" s="20">
        <f t="shared" ref="AC16" si="54">H16*(AA16*F16+AB16*G16)</f>
        <v>6.6359999999999983</v>
      </c>
      <c r="AD16" s="20">
        <f t="shared" ref="AD16" si="55">AC16*E16^2/8</f>
        <v>29.861999999999991</v>
      </c>
      <c r="AE16" s="16">
        <v>355</v>
      </c>
      <c r="AF16" s="63">
        <v>1.05</v>
      </c>
      <c r="AG16" s="20">
        <f t="shared" ref="AG16" si="56">AE16/AF16</f>
        <v>338.09523809523807</v>
      </c>
      <c r="AH16" s="20">
        <f t="shared" ref="AH16" si="57">AD16*10^6/AG16/1000</f>
        <v>88.324225352112649</v>
      </c>
      <c r="AI16" s="20">
        <f t="shared" ref="AI16" ca="1" si="58">VLOOKUP(D16,INDIRECT(C16),15,FALSE)</f>
        <v>324.3</v>
      </c>
      <c r="AJ16" s="20">
        <f t="shared" ref="AJ16" ca="1" si="59">AI16*AG16*0.001</f>
        <v>109.64428571428572</v>
      </c>
      <c r="AK16" s="15">
        <f t="shared" ref="AK16" ca="1" si="60">AH16/AI16</f>
        <v>0.27235345467811484</v>
      </c>
      <c r="AL16" s="20">
        <f>VLOOKUP(A16,bjelkemodell_tabell[],8,FALSE)/VLOOKUP(A16,bjelkemodell_tabell[],9,FALSE)*AC16*E16</f>
        <v>19.907999999999994</v>
      </c>
      <c r="AM16" s="20">
        <f>VLOOKUP(A16,bjelkemodell_tabell[],10,FALSE)/VLOOKUP(A16,bjelkemodell_tabell[],11,FALSE)*AC16*E16^2</f>
        <v>29.861999999999991</v>
      </c>
    </row>
    <row r="17" spans="1:39" x14ac:dyDescent="0.25">
      <c r="A17" s="16" t="s">
        <v>325</v>
      </c>
      <c r="B17" s="16" t="s">
        <v>227</v>
      </c>
      <c r="C17" s="17" t="s">
        <v>202</v>
      </c>
      <c r="D17" s="17" t="s">
        <v>191</v>
      </c>
      <c r="E17" s="34">
        <v>5</v>
      </c>
      <c r="F17" s="34">
        <f>0.6+0.35</f>
        <v>0.95</v>
      </c>
      <c r="G17" s="34">
        <v>2.4</v>
      </c>
      <c r="H17" s="34">
        <v>1.4</v>
      </c>
      <c r="I17" s="15">
        <f t="shared" ref="I17" ca="1" si="61">Y17</f>
        <v>0.65566064915023248</v>
      </c>
      <c r="J17" s="15">
        <f t="shared" ref="J17" ca="1" si="62">AK17</f>
        <v>0.2433978873239436</v>
      </c>
      <c r="K17" s="20">
        <f t="shared" ref="K17" ca="1" si="63">VLOOKUP(D17,INDIRECT(C17),8,FALSE)</f>
        <v>26.2</v>
      </c>
      <c r="L17" s="32">
        <f t="shared" ref="L17" ca="1" si="64">K17*E17</f>
        <v>131</v>
      </c>
      <c r="M17" s="35">
        <f t="shared" ref="M17" ca="1" si="65">L17</f>
        <v>131</v>
      </c>
      <c r="N17" s="16">
        <v>1</v>
      </c>
      <c r="O17" s="16">
        <v>1</v>
      </c>
      <c r="P17" s="20">
        <f t="shared" ref="P17" si="66">H17*(N17*F17+O17*G17)</f>
        <v>4.6899999999999995</v>
      </c>
      <c r="Q17" s="16">
        <v>250</v>
      </c>
      <c r="R17" s="16">
        <v>10</v>
      </c>
      <c r="S17" s="20">
        <f t="shared" ref="S17" si="67">MIN(E17*1000/Q17,R17)</f>
        <v>10</v>
      </c>
      <c r="T17" s="20">
        <f>VLOOKUP(A17,bjelkemodell_tabell[],6,FALSE)</f>
        <v>5</v>
      </c>
      <c r="U17" s="20">
        <f>VLOOKUP(A17,bjelkemodell_tabell[],7,FALSE)</f>
        <v>384</v>
      </c>
      <c r="V17" s="20">
        <f t="shared" ref="V17" si="68">T17*P17*(E17*1000)^4/(U17*210000*S17)/(10^6)</f>
        <v>18.174913194444439</v>
      </c>
      <c r="W17" s="20">
        <f t="shared" ref="W17" ca="1" si="69">VLOOKUP(D17,INDIRECT(C17),13,FALSE)</f>
        <v>27.72</v>
      </c>
      <c r="X17" s="20">
        <f t="shared" ref="X17" ca="1" si="70">T17*P17*E17^4/(U17*210000*W17)*1000000</f>
        <v>6.5566064915023246</v>
      </c>
      <c r="Y17" s="15">
        <f t="shared" ref="Y17" ca="1" si="71">X17/S17</f>
        <v>0.65566064915023248</v>
      </c>
      <c r="AA17" s="16">
        <v>1.2</v>
      </c>
      <c r="AB17" s="16">
        <v>1.5</v>
      </c>
      <c r="AC17" s="20">
        <f t="shared" ref="AC17" si="72">H17*(AA17*F17+AB17*G17)</f>
        <v>6.6359999999999983</v>
      </c>
      <c r="AD17" s="20">
        <f t="shared" ref="AD17" si="73">AC17*E17^2/8</f>
        <v>20.737499999999994</v>
      </c>
      <c r="AE17" s="16">
        <v>355</v>
      </c>
      <c r="AF17" s="63">
        <v>1.05</v>
      </c>
      <c r="AG17" s="20">
        <f t="shared" ref="AG17" si="74">AE17/AF17</f>
        <v>338.09523809523807</v>
      </c>
      <c r="AH17" s="20">
        <f t="shared" ref="AH17" si="75">AD17*10^6/AG17/1000</f>
        <v>61.336267605633786</v>
      </c>
      <c r="AI17" s="20">
        <f t="shared" ref="AI17" ca="1" si="76">VLOOKUP(D17,INDIRECT(C17),15,FALSE)</f>
        <v>252</v>
      </c>
      <c r="AJ17" s="20">
        <f t="shared" ref="AJ17" ca="1" si="77">AI17*AG17*0.001</f>
        <v>85.2</v>
      </c>
      <c r="AK17" s="15">
        <f t="shared" ref="AK17" ca="1" si="78">AH17/AI17</f>
        <v>0.2433978873239436</v>
      </c>
      <c r="AL17" s="20">
        <f>VLOOKUP(A17,bjelkemodell_tabell[],8,FALSE)/VLOOKUP(A17,bjelkemodell_tabell[],9,FALSE)*AC17*E17</f>
        <v>16.589999999999996</v>
      </c>
      <c r="AM17" s="20">
        <f>VLOOKUP(A17,bjelkemodell_tabell[],10,FALSE)/VLOOKUP(A17,bjelkemodell_tabell[],11,FALSE)*AC17*E17^2</f>
        <v>20.737499999999994</v>
      </c>
    </row>
    <row r="19" spans="1:39" x14ac:dyDescent="0.25">
      <c r="A19" s="16" t="s">
        <v>325</v>
      </c>
      <c r="B19" s="16" t="s">
        <v>330</v>
      </c>
      <c r="C19" s="17" t="s">
        <v>202</v>
      </c>
      <c r="D19" s="17" t="s">
        <v>192</v>
      </c>
      <c r="E19" s="34">
        <v>7.5</v>
      </c>
      <c r="F19" s="34">
        <v>0.8</v>
      </c>
      <c r="G19" s="34">
        <v>2.4</v>
      </c>
      <c r="H19" s="34">
        <v>1.35</v>
      </c>
      <c r="I19" s="15">
        <f t="shared" ref="I19" ca="1" si="79">Y19</f>
        <v>0.72586223113346049</v>
      </c>
      <c r="J19" s="15">
        <f t="shared" ref="J19" ca="1" si="80">AK19</f>
        <v>0.39477091503693762</v>
      </c>
      <c r="K19" s="20">
        <f t="shared" ref="K19" ca="1" si="81">VLOOKUP(D19,INDIRECT(C19),8,FALSE)</f>
        <v>30.7</v>
      </c>
      <c r="L19" s="32">
        <f t="shared" ref="L19" ca="1" si="82">K19*E19</f>
        <v>230.25</v>
      </c>
      <c r="M19" s="35">
        <f t="shared" ref="M19" ca="1" si="83">L19</f>
        <v>230.25</v>
      </c>
      <c r="N19" s="16">
        <v>1</v>
      </c>
      <c r="O19" s="16">
        <v>1</v>
      </c>
      <c r="P19" s="20">
        <f t="shared" ref="P19" si="84">H19*(N19*F19+O19*G19)</f>
        <v>4.32</v>
      </c>
      <c r="Q19" s="16">
        <v>250</v>
      </c>
      <c r="R19" s="16">
        <v>30</v>
      </c>
      <c r="S19" s="20">
        <f t="shared" ref="S19" si="85">MIN(E19*1000/Q19,R19)</f>
        <v>30</v>
      </c>
      <c r="T19" s="20">
        <f>VLOOKUP(A19,bjelkemodell_tabell[],6,FALSE)</f>
        <v>5</v>
      </c>
      <c r="U19" s="20">
        <f>VLOOKUP(A19,bjelkemodell_tabell[],7,FALSE)</f>
        <v>384</v>
      </c>
      <c r="V19" s="20">
        <f t="shared" ref="V19" si="86">T19*P19*(E19*1000)^4/(U19*210000*S19)/(10^6)</f>
        <v>28.250558035714288</v>
      </c>
      <c r="W19" s="20">
        <f t="shared" ref="W19" ca="1" si="87">VLOOKUP(D19,INDIRECT(C19),13,FALSE)</f>
        <v>38.92</v>
      </c>
      <c r="X19" s="20">
        <f t="shared" ref="X19" ca="1" si="88">T19*P19*E19^4/(U19*210000*W19)*1000000</f>
        <v>21.775866934003815</v>
      </c>
      <c r="Y19" s="15">
        <f t="shared" ref="Y19" ca="1" si="89">X19/S19</f>
        <v>0.72586223113346049</v>
      </c>
      <c r="AA19" s="16">
        <v>1.2</v>
      </c>
      <c r="AB19" s="16">
        <v>1.5</v>
      </c>
      <c r="AC19" s="20">
        <f t="shared" ref="AC19" si="90">H19*(AA19*F19+AB19*G19)</f>
        <v>6.1559999999999997</v>
      </c>
      <c r="AD19" s="20">
        <f t="shared" ref="AD19" si="91">AC19*E19^2/8</f>
        <v>43.284374999999997</v>
      </c>
      <c r="AE19" s="16">
        <v>355</v>
      </c>
      <c r="AF19" s="63">
        <v>1.05</v>
      </c>
      <c r="AG19" s="20">
        <f t="shared" ref="AG19" si="92">AE19/AF19</f>
        <v>338.09523809523807</v>
      </c>
      <c r="AH19" s="20">
        <f t="shared" ref="AH19" si="93">AD19*10^6/AG19/1000</f>
        <v>128.02420774647888</v>
      </c>
      <c r="AI19" s="20">
        <f t="shared" ref="AI19" ca="1" si="94">VLOOKUP(D19,INDIRECT(C19),15,FALSE)</f>
        <v>324.3</v>
      </c>
      <c r="AJ19" s="20">
        <f t="shared" ref="AJ19" ca="1" si="95">AI19*AG19*0.001</f>
        <v>109.64428571428572</v>
      </c>
      <c r="AK19" s="15">
        <f t="shared" ref="AK19" ca="1" si="96">AH19/AI19</f>
        <v>0.39477091503693762</v>
      </c>
      <c r="AL19" s="20">
        <f>VLOOKUP(A19,bjelkemodell_tabell[],8,FALSE)/VLOOKUP(A19,bjelkemodell_tabell[],9,FALSE)*AC19*E19</f>
        <v>23.084999999999997</v>
      </c>
      <c r="AM19" s="20">
        <f>VLOOKUP(A19,bjelkemodell_tabell[],10,FALSE)/VLOOKUP(A19,bjelkemodell_tabell[],11,FALSE)*AC19*E19^2</f>
        <v>43.284374999999997</v>
      </c>
    </row>
    <row r="20" spans="1:39" x14ac:dyDescent="0.25">
      <c r="A20" s="16" t="s">
        <v>325</v>
      </c>
      <c r="B20" s="16" t="s">
        <v>330</v>
      </c>
      <c r="C20" s="17" t="s">
        <v>202</v>
      </c>
      <c r="D20" s="17" t="s">
        <v>195</v>
      </c>
      <c r="E20" s="34">
        <v>7.5</v>
      </c>
      <c r="F20" s="34">
        <v>0.8</v>
      </c>
      <c r="G20" s="34">
        <v>2.4</v>
      </c>
      <c r="H20" s="34">
        <v>1.35</v>
      </c>
      <c r="I20" s="15">
        <f t="shared" ref="I20:I22" ca="1" si="97">Y20</f>
        <v>0.72006520057045764</v>
      </c>
      <c r="J20" s="15">
        <f t="shared" ref="J20:J22" ca="1" si="98">AK20</f>
        <v>0.17953191382201497</v>
      </c>
      <c r="K20" s="20">
        <f t="shared" ref="K20:K22" ca="1" si="99">VLOOKUP(D20,INDIRECT(C20),8,FALSE)</f>
        <v>49.1</v>
      </c>
      <c r="L20" s="32">
        <f t="shared" ref="L20:L22" ca="1" si="100">K20*E20</f>
        <v>368.25</v>
      </c>
      <c r="M20" s="35">
        <f t="shared" ref="M20:M22" ca="1" si="101">L20</f>
        <v>368.25</v>
      </c>
      <c r="N20" s="16">
        <v>1</v>
      </c>
      <c r="O20" s="16">
        <v>1</v>
      </c>
      <c r="P20" s="20">
        <f t="shared" ref="P20:P22" si="102">H20*(N20*F20+O20*G20)</f>
        <v>4.32</v>
      </c>
      <c r="Q20" s="16">
        <v>250</v>
      </c>
      <c r="R20" s="16">
        <v>10</v>
      </c>
      <c r="S20" s="20">
        <f t="shared" ref="S20:S22" si="103">MIN(E20*1000/Q20,R20)</f>
        <v>10</v>
      </c>
      <c r="T20" s="20">
        <f>VLOOKUP(A20,bjelkemodell_tabell[],6,FALSE)</f>
        <v>5</v>
      </c>
      <c r="U20" s="20">
        <f>VLOOKUP(A20,bjelkemodell_tabell[],7,FALSE)</f>
        <v>384</v>
      </c>
      <c r="V20" s="20">
        <f t="shared" ref="V20:V22" si="104">T20*P20*(E20*1000)^4/(U20*210000*S20)/(10^6)</f>
        <v>84.751674107142861</v>
      </c>
      <c r="W20" s="20">
        <f t="shared" ref="W20:W22" ca="1" si="105">VLOOKUP(D20,INDIRECT(C20),13,FALSE)</f>
        <v>117.7</v>
      </c>
      <c r="X20" s="20">
        <f t="shared" ref="X20:X22" ca="1" si="106">T20*P20*E20^4/(U20*210000*W20)*1000000</f>
        <v>7.2006520057045762</v>
      </c>
      <c r="Y20" s="15">
        <f t="shared" ref="Y20:Y22" ca="1" si="107">X20/S20</f>
        <v>0.72006520057045764</v>
      </c>
      <c r="AA20" s="16">
        <v>1.2</v>
      </c>
      <c r="AB20" s="16">
        <v>1.5</v>
      </c>
      <c r="AC20" s="20">
        <f t="shared" ref="AC20:AC22" si="108">H20*(AA20*F20+AB20*G20)</f>
        <v>6.1559999999999997</v>
      </c>
      <c r="AD20" s="20">
        <f t="shared" ref="AD20:AD22" si="109">AC20*E20^2/8</f>
        <v>43.284374999999997</v>
      </c>
      <c r="AE20" s="16">
        <v>355</v>
      </c>
      <c r="AF20" s="63">
        <v>1.05</v>
      </c>
      <c r="AG20" s="20">
        <f t="shared" ref="AG20:AG22" si="110">AE20/AF20</f>
        <v>338.09523809523807</v>
      </c>
      <c r="AH20" s="20">
        <f t="shared" ref="AH20:AH22" si="111">AD20*10^6/AG20/1000</f>
        <v>128.02420774647888</v>
      </c>
      <c r="AI20" s="20">
        <f t="shared" ref="AI20:AI22" ca="1" si="112">VLOOKUP(D20,INDIRECT(C20),15,FALSE)</f>
        <v>713.1</v>
      </c>
      <c r="AJ20" s="20">
        <f t="shared" ref="AJ20:AJ22" ca="1" si="113">AI20*AG20*0.001</f>
        <v>241.09571428571431</v>
      </c>
      <c r="AK20" s="15">
        <f t="shared" ref="AK20:AK22" ca="1" si="114">AH20/AI20</f>
        <v>0.17953191382201497</v>
      </c>
      <c r="AL20" s="20">
        <f>VLOOKUP(A20,bjelkemodell_tabell[],8,FALSE)/VLOOKUP(A20,bjelkemodell_tabell[],9,FALSE)*AC20*E20</f>
        <v>23.084999999999997</v>
      </c>
      <c r="AM20" s="20">
        <f>VLOOKUP(A20,bjelkemodell_tabell[],10,FALSE)/VLOOKUP(A20,bjelkemodell_tabell[],11,FALSE)*AC20*E20^2</f>
        <v>43.284374999999997</v>
      </c>
    </row>
    <row r="21" spans="1:39" x14ac:dyDescent="0.25">
      <c r="A21" s="16" t="s">
        <v>325</v>
      </c>
      <c r="B21" s="16" t="s">
        <v>330</v>
      </c>
      <c r="C21" s="17" t="s">
        <v>202</v>
      </c>
      <c r="D21" s="17" t="s">
        <v>193</v>
      </c>
      <c r="E21" s="34">
        <v>7.5</v>
      </c>
      <c r="F21" s="34">
        <v>0.8</v>
      </c>
      <c r="G21" s="34">
        <v>2.4</v>
      </c>
      <c r="H21" s="34">
        <v>1.35</v>
      </c>
      <c r="I21" s="15">
        <f t="shared" ca="1" si="97"/>
        <v>0.9758396558105108</v>
      </c>
      <c r="J21" s="15">
        <f t="shared" ca="1" si="98"/>
        <v>0.29849430577402397</v>
      </c>
      <c r="K21" s="20">
        <f t="shared" ca="1" si="99"/>
        <v>36.1</v>
      </c>
      <c r="L21" s="32">
        <f t="shared" ca="1" si="100"/>
        <v>270.75</v>
      </c>
      <c r="M21" s="35">
        <f t="shared" ca="1" si="101"/>
        <v>270.75</v>
      </c>
      <c r="N21" s="16">
        <v>1</v>
      </c>
      <c r="O21" s="16">
        <v>1</v>
      </c>
      <c r="P21" s="20">
        <f t="shared" si="102"/>
        <v>4.32</v>
      </c>
      <c r="Q21" s="16">
        <v>250</v>
      </c>
      <c r="R21" s="16">
        <v>15</v>
      </c>
      <c r="S21" s="20">
        <f t="shared" si="103"/>
        <v>15</v>
      </c>
      <c r="T21" s="20">
        <f>VLOOKUP(A21,bjelkemodell_tabell[],6,FALSE)</f>
        <v>5</v>
      </c>
      <c r="U21" s="20">
        <f>VLOOKUP(A21,bjelkemodell_tabell[],7,FALSE)</f>
        <v>384</v>
      </c>
      <c r="V21" s="20">
        <f t="shared" si="104"/>
        <v>56.501116071428577</v>
      </c>
      <c r="W21" s="20">
        <f t="shared" ca="1" si="105"/>
        <v>57.9</v>
      </c>
      <c r="X21" s="20">
        <f t="shared" ca="1" si="106"/>
        <v>14.637594837157662</v>
      </c>
      <c r="Y21" s="15">
        <f t="shared" ca="1" si="107"/>
        <v>0.9758396558105108</v>
      </c>
      <c r="AA21" s="16">
        <v>1.2</v>
      </c>
      <c r="AB21" s="16">
        <v>1.5</v>
      </c>
      <c r="AC21" s="20">
        <f t="shared" si="108"/>
        <v>6.1559999999999997</v>
      </c>
      <c r="AD21" s="20">
        <f t="shared" si="109"/>
        <v>43.284374999999997</v>
      </c>
      <c r="AE21" s="16">
        <v>355</v>
      </c>
      <c r="AF21" s="63">
        <v>1.05</v>
      </c>
      <c r="AG21" s="20">
        <f t="shared" si="110"/>
        <v>338.09523809523807</v>
      </c>
      <c r="AH21" s="20">
        <f t="shared" si="111"/>
        <v>128.02420774647888</v>
      </c>
      <c r="AI21" s="20">
        <f t="shared" ca="1" si="112"/>
        <v>428.9</v>
      </c>
      <c r="AJ21" s="20">
        <f t="shared" ca="1" si="113"/>
        <v>145.00904761904761</v>
      </c>
      <c r="AK21" s="15">
        <f t="shared" ca="1" si="114"/>
        <v>0.29849430577402397</v>
      </c>
      <c r="AL21" s="20">
        <f>VLOOKUP(A21,bjelkemodell_tabell[],8,FALSE)/VLOOKUP(A21,bjelkemodell_tabell[],9,FALSE)*AC21*E21</f>
        <v>23.084999999999997</v>
      </c>
      <c r="AM21" s="20">
        <f>VLOOKUP(A21,bjelkemodell_tabell[],10,FALSE)/VLOOKUP(A21,bjelkemodell_tabell[],11,FALSE)*AC21*E21^2</f>
        <v>43.284374999999997</v>
      </c>
    </row>
    <row r="22" spans="1:39" x14ac:dyDescent="0.25">
      <c r="A22" s="16" t="s">
        <v>325</v>
      </c>
      <c r="B22" s="16" t="s">
        <v>330</v>
      </c>
      <c r="C22" s="17" t="s">
        <v>202</v>
      </c>
      <c r="D22" s="17" t="s">
        <v>193</v>
      </c>
      <c r="E22" s="34">
        <v>7.5</v>
      </c>
      <c r="F22" s="34">
        <v>0.8</v>
      </c>
      <c r="G22" s="34">
        <v>2.4</v>
      </c>
      <c r="H22" s="34">
        <v>1.35</v>
      </c>
      <c r="I22" s="15">
        <f t="shared" ca="1" si="97"/>
        <v>0.73187974185788307</v>
      </c>
      <c r="J22" s="15">
        <f t="shared" ca="1" si="98"/>
        <v>0.29849430577402397</v>
      </c>
      <c r="K22" s="20">
        <f t="shared" ca="1" si="99"/>
        <v>36.1</v>
      </c>
      <c r="L22" s="32">
        <f t="shared" ca="1" si="100"/>
        <v>270.75</v>
      </c>
      <c r="M22" s="35">
        <f t="shared" ca="1" si="101"/>
        <v>270.75</v>
      </c>
      <c r="N22" s="16">
        <v>1</v>
      </c>
      <c r="O22" s="16">
        <v>1</v>
      </c>
      <c r="P22" s="20">
        <f t="shared" si="102"/>
        <v>4.32</v>
      </c>
      <c r="Q22" s="16">
        <v>250</v>
      </c>
      <c r="R22" s="16">
        <v>20</v>
      </c>
      <c r="S22" s="20">
        <f t="shared" si="103"/>
        <v>20</v>
      </c>
      <c r="T22" s="20">
        <f>VLOOKUP(A22,bjelkemodell_tabell[],6,FALSE)</f>
        <v>5</v>
      </c>
      <c r="U22" s="20">
        <f>VLOOKUP(A22,bjelkemodell_tabell[],7,FALSE)</f>
        <v>384</v>
      </c>
      <c r="V22" s="20">
        <f t="shared" si="104"/>
        <v>42.375837053571431</v>
      </c>
      <c r="W22" s="20">
        <f t="shared" ca="1" si="105"/>
        <v>57.9</v>
      </c>
      <c r="X22" s="20">
        <f t="shared" ca="1" si="106"/>
        <v>14.637594837157662</v>
      </c>
      <c r="Y22" s="15">
        <f t="shared" ca="1" si="107"/>
        <v>0.73187974185788307</v>
      </c>
      <c r="AA22" s="16">
        <v>1.2</v>
      </c>
      <c r="AB22" s="16">
        <v>1.5</v>
      </c>
      <c r="AC22" s="20">
        <f t="shared" si="108"/>
        <v>6.1559999999999997</v>
      </c>
      <c r="AD22" s="20">
        <f t="shared" si="109"/>
        <v>43.284374999999997</v>
      </c>
      <c r="AE22" s="16">
        <v>355</v>
      </c>
      <c r="AF22" s="63">
        <v>1.05</v>
      </c>
      <c r="AG22" s="20">
        <f t="shared" si="110"/>
        <v>338.09523809523807</v>
      </c>
      <c r="AH22" s="20">
        <f t="shared" si="111"/>
        <v>128.02420774647888</v>
      </c>
      <c r="AI22" s="20">
        <f t="shared" ca="1" si="112"/>
        <v>428.9</v>
      </c>
      <c r="AJ22" s="20">
        <f t="shared" ca="1" si="113"/>
        <v>145.00904761904761</v>
      </c>
      <c r="AK22" s="15">
        <f t="shared" ca="1" si="114"/>
        <v>0.29849430577402397</v>
      </c>
      <c r="AL22" s="20">
        <f>VLOOKUP(A22,bjelkemodell_tabell[],8,FALSE)/VLOOKUP(A22,bjelkemodell_tabell[],9,FALSE)*AC22*E22</f>
        <v>23.084999999999997</v>
      </c>
      <c r="AM22" s="20">
        <f>VLOOKUP(A22,bjelkemodell_tabell[],10,FALSE)/VLOOKUP(A22,bjelkemodell_tabell[],11,FALSE)*AC22*E22^2</f>
        <v>43.284374999999997</v>
      </c>
    </row>
    <row r="24" spans="1:39" x14ac:dyDescent="0.25">
      <c r="A24" s="16" t="s">
        <v>325</v>
      </c>
      <c r="B24" s="16" t="s">
        <v>331</v>
      </c>
      <c r="C24" s="17" t="s">
        <v>202</v>
      </c>
      <c r="D24" s="17" t="s">
        <v>192</v>
      </c>
      <c r="E24" s="34">
        <v>3.5</v>
      </c>
      <c r="F24" s="34">
        <v>10.5</v>
      </c>
      <c r="G24" s="34">
        <v>5</v>
      </c>
      <c r="H24" s="34">
        <v>3</v>
      </c>
      <c r="I24" s="15">
        <f t="shared" ref="I24" ca="1" si="115">Y24</f>
        <v>0.79404250037470014</v>
      </c>
      <c r="J24" s="15">
        <f t="shared" ref="J24" ca="1" si="116">AK24</f>
        <v>0.84212664981563767</v>
      </c>
      <c r="K24" s="20">
        <f t="shared" ref="K24" ca="1" si="117">VLOOKUP(D24,INDIRECT(C24),8,FALSE)</f>
        <v>30.7</v>
      </c>
      <c r="L24" s="32">
        <f t="shared" ref="L24" ca="1" si="118">K24*E24</f>
        <v>107.45</v>
      </c>
      <c r="M24" s="35">
        <f t="shared" ref="M24" ca="1" si="119">L24</f>
        <v>107.45</v>
      </c>
      <c r="N24" s="16">
        <v>1</v>
      </c>
      <c r="O24" s="16">
        <v>1</v>
      </c>
      <c r="P24" s="20">
        <f t="shared" ref="P24" si="120">H24*(N24*F24+O24*G24)</f>
        <v>46.5</v>
      </c>
      <c r="Q24" s="16">
        <v>250</v>
      </c>
      <c r="R24" s="16">
        <v>20</v>
      </c>
      <c r="S24" s="20">
        <f t="shared" ref="S24" si="121">MIN(E24*1000/Q24,R24)</f>
        <v>14</v>
      </c>
      <c r="T24" s="20">
        <f>VLOOKUP(A24,bjelkemodell_tabell[],6,FALSE)</f>
        <v>5</v>
      </c>
      <c r="U24" s="20">
        <f>VLOOKUP(A24,bjelkemodell_tabell[],7,FALSE)</f>
        <v>384</v>
      </c>
      <c r="V24" s="20">
        <f t="shared" ref="V24" si="122">T24*P24*(E24*1000)^4/(U24*210000*S24)/(10^6)</f>
        <v>30.904134114583332</v>
      </c>
      <c r="W24" s="20">
        <f t="shared" ref="W24" ca="1" si="123">VLOOKUP(D24,INDIRECT(C24),13,FALSE)</f>
        <v>38.92</v>
      </c>
      <c r="X24" s="20">
        <f t="shared" ref="X24" ca="1" si="124">T24*P24*E24^4/(U24*210000*W24)*1000000</f>
        <v>11.116595005245802</v>
      </c>
      <c r="Y24" s="15">
        <f t="shared" ref="Y24" ca="1" si="125">X24/S24</f>
        <v>0.79404250037470014</v>
      </c>
      <c r="AA24" s="16">
        <v>1.2</v>
      </c>
      <c r="AB24" s="16">
        <v>1.5</v>
      </c>
      <c r="AC24" s="20">
        <f t="shared" ref="AC24" si="126">H24*(AA24*F24+AB24*G24)</f>
        <v>60.300000000000004</v>
      </c>
      <c r="AD24" s="20">
        <f t="shared" ref="AD24" si="127">AC24*E24^2/8</f>
        <v>92.334375000000009</v>
      </c>
      <c r="AE24" s="16">
        <v>355</v>
      </c>
      <c r="AF24" s="63">
        <v>1.05</v>
      </c>
      <c r="AG24" s="20">
        <f t="shared" ref="AG24" si="128">AE24/AF24</f>
        <v>338.09523809523807</v>
      </c>
      <c r="AH24" s="20">
        <f t="shared" ref="AH24" si="129">AD24*10^6/AG24/1000</f>
        <v>273.10167253521132</v>
      </c>
      <c r="AI24" s="20">
        <f t="shared" ref="AI24" ca="1" si="130">VLOOKUP(D24,INDIRECT(C24),15,FALSE)</f>
        <v>324.3</v>
      </c>
      <c r="AJ24" s="20">
        <f t="shared" ref="AJ24" ca="1" si="131">AI24*AG24*0.001</f>
        <v>109.64428571428572</v>
      </c>
      <c r="AK24" s="15">
        <f t="shared" ref="AK24" ca="1" si="132">AH24/AI24</f>
        <v>0.84212664981563767</v>
      </c>
      <c r="AL24" s="20">
        <f>VLOOKUP(A24,bjelkemodell_tabell[],8,FALSE)/VLOOKUP(A24,bjelkemodell_tabell[],9,FALSE)*AC24*E24</f>
        <v>105.52500000000001</v>
      </c>
      <c r="AM24" s="20">
        <f>VLOOKUP(A24,bjelkemodell_tabell[],10,FALSE)/VLOOKUP(A24,bjelkemodell_tabell[],11,FALSE)*AC24*E24^2</f>
        <v>92.334375000000009</v>
      </c>
    </row>
    <row r="26" spans="1:39" x14ac:dyDescent="0.25">
      <c r="A26" s="16" t="s">
        <v>325</v>
      </c>
      <c r="B26" s="16" t="s">
        <v>330</v>
      </c>
      <c r="C26" s="17" t="s">
        <v>202</v>
      </c>
      <c r="D26" s="17" t="s">
        <v>194</v>
      </c>
      <c r="E26" s="34">
        <v>9.6</v>
      </c>
      <c r="F26" s="34">
        <v>0.8</v>
      </c>
      <c r="G26" s="34">
        <v>2.4</v>
      </c>
      <c r="H26" s="34">
        <v>1.35</v>
      </c>
      <c r="I26" s="15">
        <f t="shared" ref="I26:I28" ca="1" si="133">Y26</f>
        <v>0.90754564726800246</v>
      </c>
      <c r="J26" s="15">
        <f t="shared" ref="J26:J28" ca="1" si="134">AK26</f>
        <v>0.37651204805570099</v>
      </c>
      <c r="K26" s="20">
        <f t="shared" ref="K26:K28" ca="1" si="135">VLOOKUP(D26,INDIRECT(C26),8,FALSE)</f>
        <v>42.2</v>
      </c>
      <c r="L26" s="32">
        <f t="shared" ref="L26:L28" ca="1" si="136">K26*E26</f>
        <v>405.12</v>
      </c>
      <c r="M26" s="35">
        <f t="shared" ref="M26:M28" ca="1" si="137">L26</f>
        <v>405.12</v>
      </c>
      <c r="N26" s="16">
        <v>1</v>
      </c>
      <c r="O26" s="16">
        <v>1</v>
      </c>
      <c r="P26" s="20">
        <f t="shared" ref="P26:P28" si="138">H26*(N26*F26+O26*G26)</f>
        <v>4.32</v>
      </c>
      <c r="Q26" s="16">
        <v>250</v>
      </c>
      <c r="R26" s="16">
        <v>30</v>
      </c>
      <c r="S26" s="20">
        <f t="shared" ref="S26:S28" si="139">MIN(E26*1000/Q26,R26)</f>
        <v>30</v>
      </c>
      <c r="T26" s="20">
        <f>VLOOKUP(A26,bjelkemodell_tabell[],6,FALSE)</f>
        <v>5</v>
      </c>
      <c r="U26" s="20">
        <f>VLOOKUP(A26,bjelkemodell_tabell[],7,FALSE)</f>
        <v>384</v>
      </c>
      <c r="V26" s="20">
        <f t="shared" ref="V26:V28" si="140">T26*P26*(E26*1000)^4/(U26*210000*S26)/(10^6)</f>
        <v>75.834514285714278</v>
      </c>
      <c r="W26" s="20">
        <f t="shared" ref="W26:W28" ca="1" si="141">VLOOKUP(D26,INDIRECT(C26),13,FALSE)</f>
        <v>83.56</v>
      </c>
      <c r="X26" s="20">
        <f t="shared" ref="X26:X28" ca="1" si="142">T26*P26*E26^4/(U26*210000*W26)*1000000</f>
        <v>27.226369418040075</v>
      </c>
      <c r="Y26" s="15">
        <f t="shared" ref="Y26:Y28" ca="1" si="143">X26/S26</f>
        <v>0.90754564726800246</v>
      </c>
      <c r="AA26" s="16">
        <v>1.2</v>
      </c>
      <c r="AB26" s="16">
        <v>1.5</v>
      </c>
      <c r="AC26" s="20">
        <f t="shared" ref="AC26:AC28" si="144">H26*(AA26*F26+AB26*G26)</f>
        <v>6.1559999999999997</v>
      </c>
      <c r="AD26" s="20">
        <f t="shared" ref="AD26:AD28" si="145">AC26*E26^2/8</f>
        <v>70.917119999999997</v>
      </c>
      <c r="AE26" s="16">
        <v>355</v>
      </c>
      <c r="AF26" s="63">
        <v>1.05</v>
      </c>
      <c r="AG26" s="20">
        <f t="shared" ref="AG26:AG28" si="146">AE26/AF26</f>
        <v>338.09523809523807</v>
      </c>
      <c r="AH26" s="20">
        <f t="shared" ref="AH26:AH28" si="147">AD26*10^6/AG26/1000</f>
        <v>209.75486197183102</v>
      </c>
      <c r="AI26" s="20">
        <f t="shared" ref="AI26:AI28" ca="1" si="148">VLOOKUP(D26,INDIRECT(C26),15,FALSE)</f>
        <v>557.1</v>
      </c>
      <c r="AJ26" s="20">
        <f t="shared" ref="AJ26:AJ28" ca="1" si="149">AI26*AG26*0.001</f>
        <v>188.35285714285715</v>
      </c>
      <c r="AK26" s="15">
        <f t="shared" ref="AK26:AK28" ca="1" si="150">AH26/AI26</f>
        <v>0.37651204805570099</v>
      </c>
      <c r="AL26" s="20">
        <f>VLOOKUP(A26,bjelkemodell_tabell[],8,FALSE)/VLOOKUP(A26,bjelkemodell_tabell[],9,FALSE)*AC26*E26</f>
        <v>29.548799999999996</v>
      </c>
      <c r="AM26" s="20">
        <f>VLOOKUP(A26,bjelkemodell_tabell[],10,FALSE)/VLOOKUP(A26,bjelkemodell_tabell[],11,FALSE)*AC26*E26^2</f>
        <v>70.917119999999997</v>
      </c>
    </row>
    <row r="27" spans="1:39" x14ac:dyDescent="0.25">
      <c r="A27" s="16" t="s">
        <v>325</v>
      </c>
      <c r="B27" s="16" t="s">
        <v>330</v>
      </c>
      <c r="C27" s="17" t="s">
        <v>130</v>
      </c>
      <c r="D27" s="17" t="s">
        <v>92</v>
      </c>
      <c r="E27" s="34">
        <v>9.6</v>
      </c>
      <c r="F27" s="34">
        <v>0.8</v>
      </c>
      <c r="G27" s="34">
        <v>2.4</v>
      </c>
      <c r="H27" s="34">
        <v>1.35</v>
      </c>
      <c r="I27" s="15">
        <f t="shared" ca="1" si="133"/>
        <v>2.1770673957621325</v>
      </c>
      <c r="J27" s="15">
        <f t="shared" ca="1" si="134"/>
        <v>0.25078295309879367</v>
      </c>
      <c r="K27" s="20">
        <f t="shared" ca="1" si="135"/>
        <v>68.2</v>
      </c>
      <c r="L27" s="32">
        <f t="shared" ca="1" si="136"/>
        <v>654.72</v>
      </c>
      <c r="M27" s="35">
        <f t="shared" ca="1" si="137"/>
        <v>654.72</v>
      </c>
      <c r="N27" s="16">
        <v>1</v>
      </c>
      <c r="O27" s="16">
        <v>1</v>
      </c>
      <c r="P27" s="20">
        <f t="shared" si="138"/>
        <v>4.32</v>
      </c>
      <c r="Q27" s="16">
        <v>250</v>
      </c>
      <c r="R27" s="16">
        <v>10</v>
      </c>
      <c r="S27" s="20">
        <f t="shared" si="139"/>
        <v>10</v>
      </c>
      <c r="T27" s="20">
        <f>VLOOKUP(A27,bjelkemodell_tabell[],6,FALSE)</f>
        <v>5</v>
      </c>
      <c r="U27" s="20">
        <f>VLOOKUP(A27,bjelkemodell_tabell[],7,FALSE)</f>
        <v>384</v>
      </c>
      <c r="V27" s="20">
        <f t="shared" si="140"/>
        <v>227.50354285714286</v>
      </c>
      <c r="W27" s="20">
        <f t="shared" ca="1" si="141"/>
        <v>104.5</v>
      </c>
      <c r="X27" s="20">
        <f t="shared" ca="1" si="142"/>
        <v>21.770673957621327</v>
      </c>
      <c r="Y27" s="15">
        <f t="shared" ca="1" si="143"/>
        <v>2.1770673957621325</v>
      </c>
      <c r="AA27" s="16">
        <v>1.2</v>
      </c>
      <c r="AB27" s="16">
        <v>1.5</v>
      </c>
      <c r="AC27" s="20">
        <f t="shared" si="144"/>
        <v>6.1559999999999997</v>
      </c>
      <c r="AD27" s="20">
        <f t="shared" si="145"/>
        <v>70.917119999999997</v>
      </c>
      <c r="AE27" s="16">
        <v>355</v>
      </c>
      <c r="AF27" s="63">
        <v>1.05</v>
      </c>
      <c r="AG27" s="20">
        <f t="shared" si="146"/>
        <v>338.09523809523807</v>
      </c>
      <c r="AH27" s="20">
        <f t="shared" si="147"/>
        <v>209.75486197183102</v>
      </c>
      <c r="AI27" s="20">
        <f t="shared" ca="1" si="148"/>
        <v>836.4</v>
      </c>
      <c r="AJ27" s="20">
        <f t="shared" ca="1" si="149"/>
        <v>282.7828571428571</v>
      </c>
      <c r="AK27" s="15">
        <f t="shared" ca="1" si="150"/>
        <v>0.25078295309879367</v>
      </c>
      <c r="AL27" s="20">
        <f>VLOOKUP(A27,bjelkemodell_tabell[],8,FALSE)/VLOOKUP(A27,bjelkemodell_tabell[],9,FALSE)*AC27*E27</f>
        <v>29.548799999999996</v>
      </c>
      <c r="AM27" s="20">
        <f>VLOOKUP(A27,bjelkemodell_tabell[],10,FALSE)/VLOOKUP(A27,bjelkemodell_tabell[],11,FALSE)*AC27*E27^2</f>
        <v>70.917119999999997</v>
      </c>
    </row>
    <row r="28" spans="1:39" x14ac:dyDescent="0.25">
      <c r="A28" s="16" t="s">
        <v>325</v>
      </c>
      <c r="B28" s="16" t="s">
        <v>330</v>
      </c>
      <c r="C28" s="17" t="s">
        <v>202</v>
      </c>
      <c r="D28" s="17" t="s">
        <v>193</v>
      </c>
      <c r="E28" s="34">
        <v>7.5</v>
      </c>
      <c r="F28" s="34">
        <v>0.8</v>
      </c>
      <c r="G28" s="34">
        <v>2.4</v>
      </c>
      <c r="H28" s="34">
        <v>1.35</v>
      </c>
      <c r="I28" s="15">
        <f t="shared" ca="1" si="133"/>
        <v>0.9758396558105108</v>
      </c>
      <c r="J28" s="15">
        <f t="shared" ca="1" si="134"/>
        <v>0.29849430577402397</v>
      </c>
      <c r="K28" s="20">
        <f t="shared" ca="1" si="135"/>
        <v>36.1</v>
      </c>
      <c r="L28" s="32">
        <f t="shared" ca="1" si="136"/>
        <v>270.75</v>
      </c>
      <c r="M28" s="35">
        <f t="shared" ca="1" si="137"/>
        <v>270.75</v>
      </c>
      <c r="N28" s="16">
        <v>1</v>
      </c>
      <c r="O28" s="16">
        <v>1</v>
      </c>
      <c r="P28" s="20">
        <f t="shared" si="138"/>
        <v>4.32</v>
      </c>
      <c r="Q28" s="16">
        <v>250</v>
      </c>
      <c r="R28" s="16">
        <v>15</v>
      </c>
      <c r="S28" s="20">
        <f t="shared" si="139"/>
        <v>15</v>
      </c>
      <c r="T28" s="20">
        <f>VLOOKUP(A28,bjelkemodell_tabell[],6,FALSE)</f>
        <v>5</v>
      </c>
      <c r="U28" s="20">
        <f>VLOOKUP(A28,bjelkemodell_tabell[],7,FALSE)</f>
        <v>384</v>
      </c>
      <c r="V28" s="20">
        <f t="shared" si="140"/>
        <v>56.501116071428577</v>
      </c>
      <c r="W28" s="20">
        <f t="shared" ca="1" si="141"/>
        <v>57.9</v>
      </c>
      <c r="X28" s="20">
        <f t="shared" ca="1" si="142"/>
        <v>14.637594837157662</v>
      </c>
      <c r="Y28" s="15">
        <f t="shared" ca="1" si="143"/>
        <v>0.9758396558105108</v>
      </c>
      <c r="AA28" s="16">
        <v>1.2</v>
      </c>
      <c r="AB28" s="16">
        <v>1.5</v>
      </c>
      <c r="AC28" s="20">
        <f t="shared" si="144"/>
        <v>6.1559999999999997</v>
      </c>
      <c r="AD28" s="20">
        <f t="shared" si="145"/>
        <v>43.284374999999997</v>
      </c>
      <c r="AE28" s="16">
        <v>355</v>
      </c>
      <c r="AF28" s="63">
        <v>1.05</v>
      </c>
      <c r="AG28" s="20">
        <f t="shared" si="146"/>
        <v>338.09523809523807</v>
      </c>
      <c r="AH28" s="20">
        <f t="shared" si="147"/>
        <v>128.02420774647888</v>
      </c>
      <c r="AI28" s="20">
        <f t="shared" ca="1" si="148"/>
        <v>428.9</v>
      </c>
      <c r="AJ28" s="20">
        <f t="shared" ca="1" si="149"/>
        <v>145.00904761904761</v>
      </c>
      <c r="AK28" s="15">
        <f t="shared" ca="1" si="150"/>
        <v>0.29849430577402397</v>
      </c>
      <c r="AL28" s="20">
        <f>VLOOKUP(A28,bjelkemodell_tabell[],8,FALSE)/VLOOKUP(A28,bjelkemodell_tabell[],9,FALSE)*AC28*E28</f>
        <v>23.084999999999997</v>
      </c>
      <c r="AM28" s="20">
        <f>VLOOKUP(A28,bjelkemodell_tabell[],10,FALSE)/VLOOKUP(A28,bjelkemodell_tabell[],11,FALSE)*AC28*E28^2</f>
        <v>43.284374999999997</v>
      </c>
    </row>
  </sheetData>
  <autoFilter ref="B5:AM9" xr:uid="{ACCBE679-5C61-4A9F-A0E5-362ECA01F035}"/>
  <conditionalFormatting sqref="I7:J9">
    <cfRule type="cellIs" dxfId="279" priority="347" stopIfTrue="1" operator="lessThan">
      <formula>0.9</formula>
    </cfRule>
    <cfRule type="cellIs" dxfId="278" priority="351" operator="greaterThan">
      <formula>1</formula>
    </cfRule>
    <cfRule type="cellIs" dxfId="277" priority="352" operator="lessThan">
      <formula>1</formula>
    </cfRule>
  </conditionalFormatting>
  <conditionalFormatting sqref="I11:J13">
    <cfRule type="cellIs" dxfId="276" priority="61" stopIfTrue="1" operator="lessThan">
      <formula>0.9</formula>
    </cfRule>
    <cfRule type="cellIs" dxfId="275" priority="64" operator="lessThan">
      <formula>1</formula>
    </cfRule>
    <cfRule type="cellIs" dxfId="274" priority="63" operator="greaterThan">
      <formula>1</formula>
    </cfRule>
  </conditionalFormatting>
  <conditionalFormatting sqref="I15:J15">
    <cfRule type="cellIs" dxfId="273" priority="54" operator="lessThan">
      <formula>1</formula>
    </cfRule>
  </conditionalFormatting>
  <conditionalFormatting sqref="I15:J17">
    <cfRule type="cellIs" dxfId="272" priority="40" stopIfTrue="1" operator="lessThan">
      <formula>0.9</formula>
    </cfRule>
    <cfRule type="cellIs" dxfId="271" priority="41" operator="greaterThan">
      <formula>1</formula>
    </cfRule>
  </conditionalFormatting>
  <conditionalFormatting sqref="I16:J17">
    <cfRule type="cellIs" dxfId="270" priority="42" operator="lessThan">
      <formula>1</formula>
    </cfRule>
  </conditionalFormatting>
  <conditionalFormatting sqref="I19:J22">
    <cfRule type="cellIs" dxfId="269" priority="23" operator="lessThan">
      <formula>1</formula>
    </cfRule>
    <cfRule type="cellIs" dxfId="268" priority="22" operator="greaterThan">
      <formula>1</formula>
    </cfRule>
    <cfRule type="cellIs" dxfId="267" priority="21" stopIfTrue="1" operator="lessThan">
      <formula>0.9</formula>
    </cfRule>
  </conditionalFormatting>
  <conditionalFormatting sqref="I24:J24">
    <cfRule type="cellIs" dxfId="266" priority="11" stopIfTrue="1" operator="lessThan">
      <formula>0.9</formula>
    </cfRule>
    <cfRule type="cellIs" dxfId="265" priority="12" operator="greaterThan">
      <formula>1</formula>
    </cfRule>
    <cfRule type="cellIs" dxfId="264" priority="13" operator="lessThan">
      <formula>1</formula>
    </cfRule>
  </conditionalFormatting>
  <conditionalFormatting sqref="I26:J28">
    <cfRule type="cellIs" dxfId="263" priority="1" stopIfTrue="1" operator="lessThan">
      <formula>0.9</formula>
    </cfRule>
    <cfRule type="cellIs" dxfId="262" priority="2" operator="greaterThan">
      <formula>1</formula>
    </cfRule>
    <cfRule type="cellIs" dxfId="261" priority="3" operator="lessThan">
      <formula>1</formula>
    </cfRule>
  </conditionalFormatting>
  <conditionalFormatting sqref="J7:J9">
    <cfRule type="cellIs" dxfId="260" priority="350" operator="lessThan">
      <formula>1</formula>
    </cfRule>
  </conditionalFormatting>
  <conditionalFormatting sqref="J11:J13">
    <cfRule type="cellIs" dxfId="259" priority="62" operator="lessThan">
      <formula>1</formula>
    </cfRule>
  </conditionalFormatting>
  <conditionalFormatting sqref="J15:J17">
    <cfRule type="cellIs" dxfId="258" priority="52" operator="lessThan">
      <formula>1</formula>
    </cfRule>
  </conditionalFormatting>
  <conditionalFormatting sqref="J19:J22">
    <cfRule type="cellIs" dxfId="257" priority="33" operator="lessThan">
      <formula>1</formula>
    </cfRule>
  </conditionalFormatting>
  <conditionalFormatting sqref="J24">
    <cfRule type="cellIs" dxfId="256" priority="14" operator="lessThan">
      <formula>1</formula>
    </cfRule>
  </conditionalFormatting>
  <conditionalFormatting sqref="J26:J28">
    <cfRule type="cellIs" dxfId="255" priority="4" operator="lessThan">
      <formula>1</formula>
    </cfRule>
  </conditionalFormatting>
  <conditionalFormatting sqref="L7:L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7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L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9">
    <cfRule type="dataBar" priority="30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{9BBFE297-5596-4B08-B511-C18FCFC55D7A}</x14:id>
        </ext>
      </extLst>
    </cfRule>
  </conditionalFormatting>
  <conditionalFormatting sqref="M11:M13">
    <cfRule type="dataBar" priority="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{A0824117-2082-4BAC-BFF9-141F8CE9DA32}</x14:id>
        </ext>
      </extLst>
    </cfRule>
  </conditionalFormatting>
  <conditionalFormatting sqref="M15:M17">
    <cfRule type="dataBar" priority="5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{5E9C8E59-1964-4D38-8894-C3B5EA7602E2}</x14:id>
        </ext>
      </extLst>
    </cfRule>
  </conditionalFormatting>
  <conditionalFormatting sqref="M19:M22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{722D51D6-4491-4810-8C33-91B3E5B56F47}</x14:id>
        </ext>
      </extLst>
    </cfRule>
  </conditionalFormatting>
  <conditionalFormatting sqref="M24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{95712B27-5B7B-4409-92E5-97314989EF07}</x14:id>
        </ext>
      </extLst>
    </cfRule>
  </conditionalFormatting>
  <conditionalFormatting sqref="M26:M28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{DA54E1B2-6C71-4E55-9468-5D2A9E83DA67}</x14:id>
        </ext>
      </extLst>
    </cfRule>
  </conditionalFormatting>
  <conditionalFormatting sqref="Y7:Y9">
    <cfRule type="cellIs" dxfId="254" priority="355" operator="lessThan">
      <formula>1</formula>
    </cfRule>
    <cfRule type="cellIs" dxfId="253" priority="356" operator="greaterThan">
      <formula>1</formula>
    </cfRule>
  </conditionalFormatting>
  <conditionalFormatting sqref="Y11:Y13">
    <cfRule type="cellIs" dxfId="252" priority="67" operator="lessThan">
      <formula>1</formula>
    </cfRule>
    <cfRule type="cellIs" dxfId="251" priority="68" operator="greaterThan">
      <formula>1</formula>
    </cfRule>
  </conditionalFormatting>
  <conditionalFormatting sqref="Y15:Y17">
    <cfRule type="cellIs" dxfId="250" priority="57" operator="lessThan">
      <formula>1</formula>
    </cfRule>
    <cfRule type="cellIs" dxfId="249" priority="58" operator="greaterThan">
      <formula>1</formula>
    </cfRule>
  </conditionalFormatting>
  <conditionalFormatting sqref="Y19:Y22">
    <cfRule type="cellIs" dxfId="248" priority="37" operator="greaterThan">
      <formula>1</formula>
    </cfRule>
    <cfRule type="cellIs" dxfId="247" priority="36" operator="lessThan">
      <formula>1</formula>
    </cfRule>
  </conditionalFormatting>
  <conditionalFormatting sqref="Y24">
    <cfRule type="cellIs" dxfId="246" priority="18" operator="greaterThan">
      <formula>1</formula>
    </cfRule>
    <cfRule type="cellIs" dxfId="245" priority="17" operator="lessThan">
      <formula>1</formula>
    </cfRule>
  </conditionalFormatting>
  <conditionalFormatting sqref="Y26:Y28">
    <cfRule type="cellIs" dxfId="244" priority="7" operator="lessThan">
      <formula>1</formula>
    </cfRule>
    <cfRule type="cellIs" dxfId="243" priority="8" operator="greaterThan">
      <formula>1</formula>
    </cfRule>
  </conditionalFormatting>
  <conditionalFormatting sqref="AK7:AK9">
    <cfRule type="cellIs" dxfId="242" priority="353" operator="lessThan">
      <formula>1</formula>
    </cfRule>
    <cfRule type="cellIs" dxfId="241" priority="354" operator="greaterThan">
      <formula>1</formula>
    </cfRule>
  </conditionalFormatting>
  <conditionalFormatting sqref="AK11:AK13">
    <cfRule type="cellIs" dxfId="240" priority="65" operator="lessThan">
      <formula>1</formula>
    </cfRule>
    <cfRule type="cellIs" dxfId="239" priority="66" operator="greaterThan">
      <formula>1</formula>
    </cfRule>
  </conditionalFormatting>
  <conditionalFormatting sqref="AK15:AK17">
    <cfRule type="cellIs" dxfId="238" priority="55" operator="lessThan">
      <formula>1</formula>
    </cfRule>
    <cfRule type="cellIs" dxfId="237" priority="56" operator="greaterThan">
      <formula>1</formula>
    </cfRule>
  </conditionalFormatting>
  <conditionalFormatting sqref="AK19:AK22">
    <cfRule type="cellIs" dxfId="236" priority="35" operator="greaterThan">
      <formula>1</formula>
    </cfRule>
    <cfRule type="cellIs" dxfId="235" priority="34" operator="lessThan">
      <formula>1</formula>
    </cfRule>
  </conditionalFormatting>
  <conditionalFormatting sqref="AK24">
    <cfRule type="cellIs" dxfId="234" priority="16" operator="greaterThan">
      <formula>1</formula>
    </cfRule>
    <cfRule type="cellIs" dxfId="233" priority="15" operator="lessThan">
      <formula>1</formula>
    </cfRule>
  </conditionalFormatting>
  <conditionalFormatting sqref="AK26:AK28">
    <cfRule type="cellIs" dxfId="232" priority="6" operator="greaterThan">
      <formula>1</formula>
    </cfRule>
    <cfRule type="cellIs" dxfId="231" priority="5" operator="lessThan">
      <formula>1</formula>
    </cfRule>
  </conditionalFormatting>
  <dataValidations count="3">
    <dataValidation type="list" allowBlank="1" showInputMessage="1" showErrorMessage="1" sqref="C7:C9 C11:C13 C15:C17 C19:C22 C24 C26:C28" xr:uid="{86DB6F6D-11CE-4021-939B-3F5ABA6890C2}">
      <formula1>Profiles</formula1>
    </dataValidation>
    <dataValidation type="list" allowBlank="1" showInputMessage="1" showErrorMessage="1" sqref="D7:D9 D11:D13 D15:D17 D19:D22 D24 D26:D28" xr:uid="{6749DACB-BF61-4E43-A53B-4902BC3EA5DF}">
      <formula1>INDIRECT(C7&amp;"[[#All];[Profile]]")</formula1>
    </dataValidation>
    <dataValidation type="list" allowBlank="1" showInputMessage="1" showErrorMessage="1" sqref="A7:A9 A11:A13 A15:A17 A19:A22 A24 A26:A28" xr:uid="{934AE8A3-12F7-4324-A589-48F4B9B5CDD6}">
      <formula1>INDIRECT("bjelkemodell_tabell[Bjelkemodell]")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BFE297-5596-4B08-B511-C18FCFC55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M7:M9</xm:sqref>
        </x14:conditionalFormatting>
        <x14:conditionalFormatting xmlns:xm="http://schemas.microsoft.com/office/excel/2006/main">
          <x14:cfRule type="dataBar" id="{A0824117-2082-4BAC-BFF9-141F8CE9D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M11:M13</xm:sqref>
        </x14:conditionalFormatting>
        <x14:conditionalFormatting xmlns:xm="http://schemas.microsoft.com/office/excel/2006/main">
          <x14:cfRule type="dataBar" id="{5E9C8E59-1964-4D38-8894-C3B5EA760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M15:M17</xm:sqref>
        </x14:conditionalFormatting>
        <x14:conditionalFormatting xmlns:xm="http://schemas.microsoft.com/office/excel/2006/main">
          <x14:cfRule type="dataBar" id="{722D51D6-4491-4810-8C33-91B3E5B56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M19:M22</xm:sqref>
        </x14:conditionalFormatting>
        <x14:conditionalFormatting xmlns:xm="http://schemas.microsoft.com/office/excel/2006/main">
          <x14:cfRule type="dataBar" id="{95712B27-5B7B-4409-92E5-97314989E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</xm:sqref>
        </x14:conditionalFormatting>
        <x14:conditionalFormatting xmlns:xm="http://schemas.microsoft.com/office/excel/2006/main">
          <x14:cfRule type="dataBar" id="{DA54E1B2-6C71-4E55-9468-5D2A9E83D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M26:M28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BB89-ACCE-43A8-B0EE-A6027960B9C8}">
  <sheetPr codeName="Sheet7"/>
  <dimension ref="A1:W33"/>
  <sheetViews>
    <sheetView tabSelected="1" zoomScale="85" zoomScaleNormal="85" workbookViewId="0">
      <selection activeCell="R6" sqref="R6"/>
    </sheetView>
  </sheetViews>
  <sheetFormatPr defaultColWidth="9.140625" defaultRowHeight="15" x14ac:dyDescent="0.25"/>
  <cols>
    <col min="1" max="1" width="26.42578125" style="37" customWidth="1"/>
    <col min="2" max="5" width="9.140625" style="37"/>
    <col min="6" max="6" width="5.140625" style="37" customWidth="1"/>
    <col min="7" max="7" width="9.140625" style="37"/>
    <col min="8" max="8" width="17" style="37" bestFit="1" customWidth="1"/>
    <col min="9" max="9" width="13.85546875" style="37" bestFit="1" customWidth="1"/>
    <col min="10" max="10" width="15.42578125" style="37" customWidth="1"/>
    <col min="11" max="11" width="13.85546875" style="37" customWidth="1"/>
    <col min="12" max="13" width="9.140625" style="37"/>
    <col min="14" max="15" width="17" style="37" bestFit="1" customWidth="1"/>
    <col min="16" max="16" width="21.42578125" style="37" bestFit="1" customWidth="1"/>
    <col min="17" max="17" width="17" style="37" customWidth="1"/>
    <col min="18" max="18" width="13.85546875" style="37" bestFit="1" customWidth="1"/>
    <col min="19" max="19" width="9.140625" style="37"/>
    <col min="20" max="20" width="17" style="37" bestFit="1" customWidth="1"/>
    <col min="21" max="21" width="13.85546875" style="37" bestFit="1" customWidth="1"/>
    <col min="22" max="22" width="21.42578125" style="37" bestFit="1" customWidth="1"/>
    <col min="23" max="23" width="11" style="37" customWidth="1"/>
    <col min="24" max="16384" width="9.140625" style="37"/>
  </cols>
  <sheetData>
    <row r="1" spans="1:23" x14ac:dyDescent="0.25">
      <c r="A1" s="51" t="s">
        <v>275</v>
      </c>
    </row>
    <row r="2" spans="1:23" x14ac:dyDescent="0.25">
      <c r="A2" s="50" t="s">
        <v>274</v>
      </c>
    </row>
    <row r="3" spans="1:23" x14ac:dyDescent="0.25">
      <c r="A3" s="49" t="s">
        <v>273</v>
      </c>
    </row>
    <row r="4" spans="1:23" x14ac:dyDescent="0.25">
      <c r="A4" s="48" t="s">
        <v>272</v>
      </c>
    </row>
    <row r="5" spans="1:23" x14ac:dyDescent="0.25">
      <c r="H5" s="37" t="s">
        <v>266</v>
      </c>
    </row>
    <row r="6" spans="1:23" ht="15.75" thickBot="1" x14ac:dyDescent="0.3">
      <c r="G6" s="37" t="s">
        <v>289</v>
      </c>
      <c r="H6" s="66">
        <f ca="1">B9*D13</f>
        <v>49.772000000000006</v>
      </c>
    </row>
    <row r="7" spans="1:23" x14ac:dyDescent="0.25">
      <c r="A7" s="53" t="s">
        <v>136</v>
      </c>
      <c r="B7" s="54">
        <v>338</v>
      </c>
      <c r="C7" s="47" t="s">
        <v>224</v>
      </c>
    </row>
    <row r="8" spans="1:23" ht="15.75" thickBot="1" x14ac:dyDescent="0.3">
      <c r="A8" s="55" t="s">
        <v>133</v>
      </c>
      <c r="B8" s="52">
        <v>112</v>
      </c>
      <c r="C8" s="56" t="s">
        <v>134</v>
      </c>
    </row>
    <row r="9" spans="1:23" ht="15.75" thickBot="1" x14ac:dyDescent="0.3">
      <c r="A9" s="57" t="s">
        <v>270</v>
      </c>
      <c r="B9" s="58">
        <v>0.92</v>
      </c>
      <c r="C9" s="59"/>
      <c r="G9" s="53" t="s">
        <v>202</v>
      </c>
      <c r="H9" s="46" t="s">
        <v>267</v>
      </c>
      <c r="I9" s="46" t="s">
        <v>266</v>
      </c>
      <c r="J9" s="46" t="s">
        <v>271</v>
      </c>
      <c r="K9" s="47" t="s">
        <v>269</v>
      </c>
      <c r="M9" s="53" t="s">
        <v>130</v>
      </c>
      <c r="N9" s="46" t="s">
        <v>267</v>
      </c>
      <c r="O9" s="46" t="s">
        <v>266</v>
      </c>
      <c r="P9" s="46" t="s">
        <v>276</v>
      </c>
      <c r="Q9" s="47" t="s">
        <v>269</v>
      </c>
      <c r="S9" s="53" t="s">
        <v>170</v>
      </c>
      <c r="T9" s="46" t="s">
        <v>267</v>
      </c>
      <c r="U9" s="46" t="s">
        <v>266</v>
      </c>
      <c r="V9" s="46" t="s">
        <v>276</v>
      </c>
      <c r="W9" s="47" t="s">
        <v>269</v>
      </c>
    </row>
    <row r="10" spans="1:23" x14ac:dyDescent="0.25">
      <c r="G10" s="41" t="s">
        <v>184</v>
      </c>
      <c r="H10" s="40">
        <v>20.03</v>
      </c>
      <c r="I10" s="40">
        <v>0.8014</v>
      </c>
      <c r="J10" s="40"/>
      <c r="K10" s="42">
        <f>H10*$B$7/1000</f>
        <v>6.7701400000000005</v>
      </c>
      <c r="M10" s="41" t="s">
        <v>82</v>
      </c>
      <c r="N10" s="40">
        <v>72.760000000000005</v>
      </c>
      <c r="O10" s="40">
        <v>3.492</v>
      </c>
      <c r="P10" s="40"/>
      <c r="Q10" s="42">
        <f t="shared" ref="Q10:Q33" si="0">N10*$B$7/1000</f>
        <v>24.592880000000001</v>
      </c>
      <c r="S10" s="41" t="s">
        <v>146</v>
      </c>
      <c r="T10" s="40">
        <v>89.91</v>
      </c>
      <c r="U10" s="40">
        <v>4.4950000000000001</v>
      </c>
      <c r="V10" s="40"/>
      <c r="W10" s="42">
        <f>T10*$B$7/1000</f>
        <v>30.389579999999999</v>
      </c>
    </row>
    <row r="11" spans="1:23" x14ac:dyDescent="0.25">
      <c r="A11" s="37" t="s">
        <v>264</v>
      </c>
      <c r="B11" s="37" t="s">
        <v>265</v>
      </c>
      <c r="C11" s="37" t="s">
        <v>288</v>
      </c>
      <c r="D11" s="37" t="s">
        <v>113</v>
      </c>
      <c r="E11" s="37" t="s">
        <v>263</v>
      </c>
      <c r="G11" s="41" t="s">
        <v>185</v>
      </c>
      <c r="H11" s="40">
        <v>34.200000000000003</v>
      </c>
      <c r="I11" s="40">
        <v>1.71</v>
      </c>
      <c r="J11" s="40"/>
      <c r="K11" s="42">
        <f t="shared" ref="K11:K27" si="1">H11*$B$7/1000</f>
        <v>11.5596</v>
      </c>
      <c r="M11" s="41" t="s">
        <v>85</v>
      </c>
      <c r="N11" s="40">
        <v>106.3</v>
      </c>
      <c r="O11" s="40">
        <v>6.0620000000000003</v>
      </c>
      <c r="P11" s="40"/>
      <c r="Q11" s="42">
        <f t="shared" si="0"/>
        <v>35.929400000000001</v>
      </c>
      <c r="S11" s="41" t="s">
        <v>147</v>
      </c>
      <c r="T11" s="40">
        <v>144.1</v>
      </c>
      <c r="U11" s="40">
        <v>8.6440000000000001</v>
      </c>
      <c r="V11" s="40"/>
      <c r="W11" s="42">
        <f t="shared" ref="W11:W33" si="2">T11*$B$7/1000</f>
        <v>48.705799999999996</v>
      </c>
    </row>
    <row r="12" spans="1:23" x14ac:dyDescent="0.25">
      <c r="G12" s="41" t="s">
        <v>186</v>
      </c>
      <c r="H12" s="40">
        <v>52.96</v>
      </c>
      <c r="I12" s="40">
        <v>3.1779999999999999</v>
      </c>
      <c r="J12" s="40"/>
      <c r="K12" s="42">
        <f t="shared" si="1"/>
        <v>17.900479999999998</v>
      </c>
      <c r="M12" s="41" t="s">
        <v>86</v>
      </c>
      <c r="N12" s="40">
        <v>155.4</v>
      </c>
      <c r="O12" s="40">
        <v>10.33</v>
      </c>
      <c r="P12" s="40"/>
      <c r="Q12" s="42">
        <f t="shared" si="0"/>
        <v>52.525200000000005</v>
      </c>
      <c r="S12" s="41" t="s">
        <v>148</v>
      </c>
      <c r="T12" s="40">
        <v>215.6</v>
      </c>
      <c r="U12" s="40">
        <v>15.09</v>
      </c>
      <c r="V12" s="40"/>
      <c r="W12" s="42">
        <f t="shared" si="2"/>
        <v>72.872799999999998</v>
      </c>
    </row>
    <row r="13" spans="1:23" x14ac:dyDescent="0.25">
      <c r="A13" s="38" t="s">
        <v>130</v>
      </c>
      <c r="B13" s="38" t="s">
        <v>90</v>
      </c>
      <c r="C13" s="39">
        <f ca="1">VLOOKUP(B13,INDIRECT(A13),15,FALSE)</f>
        <v>515.20000000000005</v>
      </c>
      <c r="D13" s="39">
        <f ca="1">VLOOKUP(B13,INDIRECT(A13),13,FALSE)</f>
        <v>54.1</v>
      </c>
      <c r="E13" s="61">
        <f ca="1">C13*$B$7/1000</f>
        <v>174.13759999999999</v>
      </c>
      <c r="G13" s="41" t="s">
        <v>187</v>
      </c>
      <c r="H13" s="40">
        <v>77.319999999999993</v>
      </c>
      <c r="I13" s="40">
        <v>5.4119999999999999</v>
      </c>
      <c r="J13" s="40"/>
      <c r="K13" s="42">
        <f t="shared" si="1"/>
        <v>26.134159999999998</v>
      </c>
      <c r="M13" s="41" t="s">
        <v>87</v>
      </c>
      <c r="N13" s="40">
        <v>220.1</v>
      </c>
      <c r="O13" s="40">
        <v>16.73</v>
      </c>
      <c r="P13" s="40"/>
      <c r="Q13" s="42">
        <f t="shared" si="0"/>
        <v>74.393799999999999</v>
      </c>
      <c r="S13" s="41" t="s">
        <v>149</v>
      </c>
      <c r="T13" s="40">
        <v>311.5</v>
      </c>
      <c r="U13" s="40">
        <v>24.92</v>
      </c>
      <c r="V13" s="40"/>
      <c r="W13" s="42">
        <f t="shared" si="2"/>
        <v>105.28700000000001</v>
      </c>
    </row>
    <row r="14" spans="1:23" x14ac:dyDescent="0.25">
      <c r="G14" s="41" t="s">
        <v>188</v>
      </c>
      <c r="H14" s="40">
        <v>108.7</v>
      </c>
      <c r="I14" s="40">
        <v>8.6929999999999996</v>
      </c>
      <c r="J14" s="40"/>
      <c r="K14" s="42">
        <f t="shared" si="1"/>
        <v>36.740600000000001</v>
      </c>
      <c r="M14" s="41" t="s">
        <v>88</v>
      </c>
      <c r="N14" s="40">
        <v>293.60000000000002</v>
      </c>
      <c r="O14" s="40">
        <v>25.1</v>
      </c>
      <c r="P14" s="40"/>
      <c r="Q14" s="42">
        <f t="shared" si="0"/>
        <v>99.236800000000002</v>
      </c>
      <c r="S14" s="41" t="s">
        <v>150</v>
      </c>
      <c r="T14" s="40">
        <v>425.7</v>
      </c>
      <c r="U14" s="40">
        <v>38.31</v>
      </c>
      <c r="V14" s="40"/>
      <c r="W14" s="42">
        <f t="shared" si="2"/>
        <v>143.88660000000002</v>
      </c>
    </row>
    <row r="15" spans="1:23" x14ac:dyDescent="0.25">
      <c r="A15" s="37" t="s">
        <v>268</v>
      </c>
      <c r="G15" s="41" t="s">
        <v>189</v>
      </c>
      <c r="H15" s="40">
        <v>146.30000000000001</v>
      </c>
      <c r="I15" s="40">
        <v>13.17</v>
      </c>
      <c r="J15" s="40"/>
      <c r="K15" s="42">
        <f t="shared" si="1"/>
        <v>49.449400000000004</v>
      </c>
      <c r="M15" s="41" t="s">
        <v>89</v>
      </c>
      <c r="N15" s="40">
        <v>388.6</v>
      </c>
      <c r="O15" s="40">
        <v>36.92</v>
      </c>
      <c r="P15" s="40"/>
      <c r="Q15" s="42">
        <f t="shared" si="0"/>
        <v>131.34680000000003</v>
      </c>
      <c r="S15" s="41" t="s">
        <v>151</v>
      </c>
      <c r="T15" s="40">
        <v>569.6</v>
      </c>
      <c r="U15" s="40">
        <v>56.96</v>
      </c>
      <c r="V15" s="40"/>
      <c r="W15" s="42">
        <f t="shared" ref="W15:W29" si="3">T15*$B$7/1000</f>
        <v>192.52480000000003</v>
      </c>
    </row>
    <row r="16" spans="1:23" x14ac:dyDescent="0.25">
      <c r="A16" s="17" t="s">
        <v>202</v>
      </c>
      <c r="B16" s="17" t="s">
        <v>194</v>
      </c>
      <c r="C16" s="37">
        <f ca="1">VLOOKUP(B16,INDIRECT(A16),15,FALSE)</f>
        <v>557.1</v>
      </c>
      <c r="D16" s="37">
        <f ca="1">VLOOKUP(B16,INDIRECT(A16),13,FALSE)</f>
        <v>83.56</v>
      </c>
      <c r="E16" s="61">
        <f ca="1">C16*$B$7/1000</f>
        <v>188.2998</v>
      </c>
      <c r="G16" s="41" t="s">
        <v>190</v>
      </c>
      <c r="H16" s="40">
        <v>194.3</v>
      </c>
      <c r="I16" s="40">
        <v>19.43</v>
      </c>
      <c r="J16" s="40"/>
      <c r="K16" s="42">
        <f t="shared" si="1"/>
        <v>65.673400000000015</v>
      </c>
      <c r="M16" s="41" t="s">
        <v>90</v>
      </c>
      <c r="N16" s="40">
        <v>515.20000000000005</v>
      </c>
      <c r="O16" s="40">
        <v>54.1</v>
      </c>
      <c r="P16" s="40"/>
      <c r="Q16" s="42">
        <f t="shared" si="0"/>
        <v>174.13759999999999</v>
      </c>
      <c r="S16" s="41" t="s">
        <v>152</v>
      </c>
      <c r="T16" s="40">
        <v>735.5</v>
      </c>
      <c r="U16" s="40">
        <v>80.91</v>
      </c>
      <c r="V16" s="40"/>
      <c r="W16" s="42">
        <f t="shared" si="3"/>
        <v>248.59899999999999</v>
      </c>
    </row>
    <row r="17" spans="1:23" x14ac:dyDescent="0.25">
      <c r="A17" s="17" t="s">
        <v>170</v>
      </c>
      <c r="B17" s="17" t="s">
        <v>151</v>
      </c>
      <c r="C17" s="37">
        <f ca="1">VLOOKUP(B17,INDIRECT(A17),15,FALSE)</f>
        <v>569.6</v>
      </c>
      <c r="D17" s="37">
        <f ca="1">VLOOKUP(B17,INDIRECT(A17),13,FALSE)</f>
        <v>56.96</v>
      </c>
      <c r="E17" s="61">
        <f ca="1">C17*$B$7/1000</f>
        <v>192.52480000000003</v>
      </c>
      <c r="G17" s="41" t="s">
        <v>191</v>
      </c>
      <c r="H17" s="40">
        <v>252</v>
      </c>
      <c r="I17" s="40">
        <v>27.72</v>
      </c>
      <c r="J17" s="40"/>
      <c r="K17" s="42">
        <f t="shared" si="1"/>
        <v>85.176000000000002</v>
      </c>
      <c r="M17" s="41" t="s">
        <v>91</v>
      </c>
      <c r="N17" s="40">
        <v>675.1</v>
      </c>
      <c r="O17" s="40">
        <v>77.63</v>
      </c>
      <c r="P17" s="40"/>
      <c r="Q17" s="42">
        <f t="shared" si="0"/>
        <v>228.18380000000002</v>
      </c>
      <c r="S17" s="41" t="s">
        <v>153</v>
      </c>
      <c r="T17" s="40">
        <v>938.3</v>
      </c>
      <c r="U17" s="40">
        <v>112.6</v>
      </c>
      <c r="V17" s="40"/>
      <c r="W17" s="42">
        <f t="shared" si="3"/>
        <v>317.14539999999994</v>
      </c>
    </row>
    <row r="18" spans="1:23" x14ac:dyDescent="0.25">
      <c r="G18" s="41" t="s">
        <v>192</v>
      </c>
      <c r="H18" s="40">
        <v>324.3</v>
      </c>
      <c r="I18" s="40">
        <v>38.92</v>
      </c>
      <c r="J18" s="40"/>
      <c r="K18" s="42">
        <f t="shared" si="1"/>
        <v>109.61340000000001</v>
      </c>
      <c r="M18" s="41" t="s">
        <v>92</v>
      </c>
      <c r="N18" s="40">
        <v>836.4</v>
      </c>
      <c r="O18" s="40">
        <v>104.5</v>
      </c>
      <c r="P18" s="40"/>
      <c r="Q18" s="42">
        <f t="shared" si="0"/>
        <v>282.70320000000004</v>
      </c>
      <c r="S18" s="41" t="s">
        <v>154</v>
      </c>
      <c r="T18" s="40">
        <v>1148</v>
      </c>
      <c r="U18" s="40">
        <v>149.19999999999999</v>
      </c>
      <c r="V18" s="40"/>
      <c r="W18" s="42">
        <f t="shared" si="3"/>
        <v>388.024</v>
      </c>
    </row>
    <row r="19" spans="1:23" x14ac:dyDescent="0.25">
      <c r="G19" s="41" t="s">
        <v>193</v>
      </c>
      <c r="H19" s="40">
        <v>428.9</v>
      </c>
      <c r="I19" s="40">
        <v>57.9</v>
      </c>
      <c r="J19" s="40"/>
      <c r="K19" s="42">
        <f t="shared" si="1"/>
        <v>144.9682</v>
      </c>
      <c r="M19" s="41" t="s">
        <v>93</v>
      </c>
      <c r="N19" s="40">
        <v>1013</v>
      </c>
      <c r="O19" s="40">
        <v>136.69999999999999</v>
      </c>
      <c r="P19" s="40"/>
      <c r="Q19" s="42">
        <f t="shared" si="0"/>
        <v>342.39400000000001</v>
      </c>
      <c r="S19" s="41" t="s">
        <v>155</v>
      </c>
      <c r="T19" s="40">
        <v>1376</v>
      </c>
      <c r="U19" s="40">
        <v>192.7</v>
      </c>
      <c r="V19" s="40"/>
      <c r="W19" s="42">
        <f t="shared" si="3"/>
        <v>465.08800000000002</v>
      </c>
    </row>
    <row r="20" spans="1:23" x14ac:dyDescent="0.25">
      <c r="G20" s="41" t="s">
        <v>194</v>
      </c>
      <c r="H20" s="40">
        <v>557.1</v>
      </c>
      <c r="I20" s="40">
        <v>83.56</v>
      </c>
      <c r="J20" s="40"/>
      <c r="K20" s="42">
        <f t="shared" si="1"/>
        <v>188.2998</v>
      </c>
      <c r="M20" s="41" t="s">
        <v>94</v>
      </c>
      <c r="N20" s="40">
        <v>1260</v>
      </c>
      <c r="O20" s="40">
        <v>182.6</v>
      </c>
      <c r="P20" s="40"/>
      <c r="Q20" s="42">
        <f t="shared" si="0"/>
        <v>425.88</v>
      </c>
      <c r="S20" s="41" t="s">
        <v>156</v>
      </c>
      <c r="T20" s="40">
        <v>1678</v>
      </c>
      <c r="U20" s="40">
        <v>251.7</v>
      </c>
      <c r="V20" s="40"/>
      <c r="W20" s="42">
        <f t="shared" si="3"/>
        <v>567.16399999999999</v>
      </c>
    </row>
    <row r="21" spans="1:23" x14ac:dyDescent="0.25">
      <c r="G21" s="41" t="s">
        <v>195</v>
      </c>
      <c r="H21" s="40">
        <v>713.1</v>
      </c>
      <c r="I21" s="40">
        <v>117.7</v>
      </c>
      <c r="J21" s="40"/>
      <c r="K21" s="42">
        <f t="shared" si="1"/>
        <v>241.02780000000001</v>
      </c>
      <c r="M21" s="41" t="s">
        <v>95</v>
      </c>
      <c r="N21" s="40">
        <v>1479</v>
      </c>
      <c r="O21" s="40">
        <v>229.3</v>
      </c>
      <c r="P21" s="40"/>
      <c r="Q21" s="42">
        <f t="shared" si="0"/>
        <v>499.90199999999999</v>
      </c>
      <c r="S21" s="41" t="s">
        <v>157</v>
      </c>
      <c r="T21" s="40">
        <v>1926</v>
      </c>
      <c r="U21" s="40">
        <v>308.2</v>
      </c>
      <c r="V21" s="40"/>
      <c r="W21" s="42">
        <f t="shared" si="3"/>
        <v>650.98800000000006</v>
      </c>
    </row>
    <row r="22" spans="1:23" x14ac:dyDescent="0.25">
      <c r="G22" s="41" t="s">
        <v>196</v>
      </c>
      <c r="H22" s="40">
        <v>903.6</v>
      </c>
      <c r="I22" s="40">
        <v>162.69999999999999</v>
      </c>
      <c r="J22" s="40"/>
      <c r="K22" s="42">
        <f t="shared" si="1"/>
        <v>305.41679999999997</v>
      </c>
      <c r="M22" s="41" t="s">
        <v>96</v>
      </c>
      <c r="N22" s="40">
        <v>1678</v>
      </c>
      <c r="O22" s="40">
        <v>276.89999999999998</v>
      </c>
      <c r="P22" s="40"/>
      <c r="Q22" s="42">
        <f t="shared" si="0"/>
        <v>567.16399999999999</v>
      </c>
      <c r="S22" s="41" t="s">
        <v>158</v>
      </c>
      <c r="T22" s="40">
        <v>2156</v>
      </c>
      <c r="U22" s="40">
        <v>366.6</v>
      </c>
      <c r="V22" s="40"/>
      <c r="W22" s="42">
        <f t="shared" si="3"/>
        <v>728.72799999999995</v>
      </c>
    </row>
    <row r="23" spans="1:23" x14ac:dyDescent="0.25">
      <c r="G23" s="41" t="s">
        <v>197</v>
      </c>
      <c r="H23" s="40">
        <v>1156</v>
      </c>
      <c r="I23" s="40">
        <v>231.3</v>
      </c>
      <c r="J23" s="40"/>
      <c r="K23" s="42">
        <f t="shared" si="1"/>
        <v>390.72800000000001</v>
      </c>
      <c r="M23" s="41" t="s">
        <v>97</v>
      </c>
      <c r="N23" s="40">
        <v>1891</v>
      </c>
      <c r="O23" s="40">
        <v>330.9</v>
      </c>
      <c r="P23" s="40"/>
      <c r="Q23" s="42">
        <f t="shared" si="0"/>
        <v>639.15800000000002</v>
      </c>
      <c r="S23" s="41" t="s">
        <v>159</v>
      </c>
      <c r="T23" s="40">
        <v>2400</v>
      </c>
      <c r="U23" s="40">
        <v>431.9</v>
      </c>
      <c r="V23" s="40"/>
      <c r="W23" s="42">
        <f t="shared" si="3"/>
        <v>811.2</v>
      </c>
    </row>
    <row r="24" spans="1:23" x14ac:dyDescent="0.25">
      <c r="G24" s="41" t="s">
        <v>198</v>
      </c>
      <c r="H24" s="40">
        <v>1500</v>
      </c>
      <c r="I24" s="40">
        <v>337.4</v>
      </c>
      <c r="J24" s="40"/>
      <c r="K24" s="42">
        <f t="shared" si="1"/>
        <v>507</v>
      </c>
      <c r="M24" s="41" t="s">
        <v>98</v>
      </c>
      <c r="N24" s="40">
        <v>2311</v>
      </c>
      <c r="O24" s="40">
        <v>450.7</v>
      </c>
      <c r="P24" s="40"/>
      <c r="Q24" s="42">
        <f t="shared" si="0"/>
        <v>781.11800000000005</v>
      </c>
      <c r="S24" s="41" t="s">
        <v>160</v>
      </c>
      <c r="T24" s="40">
        <v>2884</v>
      </c>
      <c r="U24" s="40">
        <v>576.79999999999995</v>
      </c>
      <c r="V24" s="40"/>
      <c r="W24" s="42">
        <f t="shared" si="3"/>
        <v>974.79200000000003</v>
      </c>
    </row>
    <row r="25" spans="1:23" x14ac:dyDescent="0.25">
      <c r="G25" s="41" t="s">
        <v>199</v>
      </c>
      <c r="H25" s="40">
        <v>1928</v>
      </c>
      <c r="I25" s="40">
        <v>482</v>
      </c>
      <c r="J25" s="40"/>
      <c r="K25" s="42">
        <f t="shared" si="1"/>
        <v>651.66399999999999</v>
      </c>
      <c r="M25" s="41" t="s">
        <v>100</v>
      </c>
      <c r="N25" s="40">
        <v>2896</v>
      </c>
      <c r="O25" s="40">
        <v>637.20000000000005</v>
      </c>
      <c r="P25" s="40"/>
      <c r="Q25" s="42">
        <f t="shared" si="0"/>
        <v>978.84799999999996</v>
      </c>
      <c r="S25" s="41" t="s">
        <v>161</v>
      </c>
      <c r="T25" s="40">
        <v>3551</v>
      </c>
      <c r="U25" s="40">
        <v>798.9</v>
      </c>
      <c r="V25" s="40"/>
      <c r="W25" s="42">
        <f t="shared" si="3"/>
        <v>1200.2380000000001</v>
      </c>
    </row>
    <row r="26" spans="1:23" x14ac:dyDescent="0.25">
      <c r="G26" s="41" t="s">
        <v>200</v>
      </c>
      <c r="H26" s="40">
        <v>2441</v>
      </c>
      <c r="I26" s="40">
        <v>671.2</v>
      </c>
      <c r="J26" s="40"/>
      <c r="K26" s="42">
        <f t="shared" si="1"/>
        <v>825.05799999999999</v>
      </c>
      <c r="M26" s="41" t="s">
        <v>101</v>
      </c>
      <c r="N26" s="40">
        <v>3550</v>
      </c>
      <c r="O26" s="40">
        <v>869.7</v>
      </c>
      <c r="P26" s="40"/>
      <c r="Q26" s="42">
        <f t="shared" si="0"/>
        <v>1199.9000000000001</v>
      </c>
      <c r="S26" s="41" t="s">
        <v>162</v>
      </c>
      <c r="T26" s="40">
        <v>4287</v>
      </c>
      <c r="U26" s="40">
        <v>1072</v>
      </c>
      <c r="V26" s="40"/>
      <c r="W26" s="42">
        <f t="shared" si="3"/>
        <v>1449.0060000000001</v>
      </c>
    </row>
    <row r="27" spans="1:23" ht="15.75" thickBot="1" x14ac:dyDescent="0.3">
      <c r="G27" s="43" t="s">
        <v>201</v>
      </c>
      <c r="H27" s="44">
        <v>3069</v>
      </c>
      <c r="I27" s="44">
        <v>920.8</v>
      </c>
      <c r="J27" s="44"/>
      <c r="K27" s="45">
        <f t="shared" si="1"/>
        <v>1037.3219999999999</v>
      </c>
      <c r="M27" s="41" t="s">
        <v>102</v>
      </c>
      <c r="N27" s="40">
        <v>4146</v>
      </c>
      <c r="O27" s="40">
        <v>1119</v>
      </c>
      <c r="P27" s="40"/>
      <c r="Q27" s="42">
        <f t="shared" si="0"/>
        <v>1401.348</v>
      </c>
      <c r="S27" s="41" t="s">
        <v>163</v>
      </c>
      <c r="T27" s="40">
        <v>4971</v>
      </c>
      <c r="U27" s="40">
        <v>1367</v>
      </c>
      <c r="V27" s="40"/>
      <c r="W27" s="42">
        <f t="shared" si="3"/>
        <v>1680.1980000000001</v>
      </c>
    </row>
    <row r="28" spans="1:23" x14ac:dyDescent="0.25">
      <c r="M28" s="41" t="s">
        <v>103</v>
      </c>
      <c r="N28" s="40">
        <v>4787</v>
      </c>
      <c r="O28" s="40">
        <v>1412</v>
      </c>
      <c r="P28" s="40"/>
      <c r="Q28" s="42">
        <f t="shared" si="0"/>
        <v>1618.0060000000001</v>
      </c>
      <c r="S28" s="41" t="s">
        <v>164</v>
      </c>
      <c r="T28" s="40">
        <v>5701</v>
      </c>
      <c r="U28" s="40">
        <v>1710</v>
      </c>
      <c r="V28" s="40"/>
      <c r="W28" s="42">
        <f t="shared" si="3"/>
        <v>1926.9380000000001</v>
      </c>
    </row>
    <row r="29" spans="1:23" x14ac:dyDescent="0.25">
      <c r="M29" s="41" t="s">
        <v>104</v>
      </c>
      <c r="N29" s="40">
        <v>5474</v>
      </c>
      <c r="O29" s="40">
        <v>1752</v>
      </c>
      <c r="P29" s="40"/>
      <c r="Q29" s="42">
        <f t="shared" si="0"/>
        <v>1850.212</v>
      </c>
      <c r="S29" s="41" t="s">
        <v>165</v>
      </c>
      <c r="T29" s="40">
        <v>6480</v>
      </c>
      <c r="U29" s="40">
        <v>2106</v>
      </c>
      <c r="V29" s="40"/>
      <c r="W29" s="42">
        <f t="shared" si="3"/>
        <v>2190.2399999999998</v>
      </c>
    </row>
    <row r="30" spans="1:23" x14ac:dyDescent="0.25">
      <c r="M30" s="41" t="s">
        <v>105</v>
      </c>
      <c r="N30" s="40">
        <v>6241</v>
      </c>
      <c r="O30" s="40">
        <v>2153</v>
      </c>
      <c r="P30" s="40"/>
      <c r="Q30" s="42">
        <f t="shared" si="0"/>
        <v>2109.4580000000001</v>
      </c>
      <c r="S30" s="41" t="s">
        <v>166</v>
      </c>
      <c r="T30" s="40">
        <v>7340</v>
      </c>
      <c r="U30" s="40">
        <v>2569</v>
      </c>
      <c r="V30" s="40"/>
      <c r="W30" s="42">
        <f t="shared" si="2"/>
        <v>2480.92</v>
      </c>
    </row>
    <row r="31" spans="1:23" x14ac:dyDescent="0.25">
      <c r="M31" s="41" t="s">
        <v>106</v>
      </c>
      <c r="N31" s="40">
        <v>7682</v>
      </c>
      <c r="O31" s="40">
        <v>3034</v>
      </c>
      <c r="P31" s="40"/>
      <c r="Q31" s="42">
        <f t="shared" si="0"/>
        <v>2596.5160000000001</v>
      </c>
      <c r="S31" s="41" t="s">
        <v>167</v>
      </c>
      <c r="T31" s="40">
        <v>8977</v>
      </c>
      <c r="U31" s="40">
        <v>3591</v>
      </c>
      <c r="V31" s="40"/>
      <c r="W31" s="42">
        <f t="shared" si="2"/>
        <v>3034.2260000000001</v>
      </c>
    </row>
    <row r="32" spans="1:23" x14ac:dyDescent="0.25">
      <c r="M32" s="41" t="s">
        <v>107</v>
      </c>
      <c r="N32" s="40">
        <v>9485</v>
      </c>
      <c r="O32" s="40">
        <v>4221</v>
      </c>
      <c r="P32" s="40"/>
      <c r="Q32" s="42">
        <f t="shared" si="0"/>
        <v>3205.93</v>
      </c>
      <c r="S32" s="41" t="s">
        <v>168</v>
      </c>
      <c r="T32" s="40">
        <v>10980</v>
      </c>
      <c r="U32" s="40">
        <v>4941</v>
      </c>
      <c r="V32" s="40"/>
      <c r="W32" s="42">
        <f t="shared" si="2"/>
        <v>3711.24</v>
      </c>
    </row>
    <row r="33" spans="13:23" ht="15.75" thickBot="1" x14ac:dyDescent="0.3">
      <c r="M33" s="43" t="s">
        <v>108</v>
      </c>
      <c r="N33" s="44">
        <v>11190</v>
      </c>
      <c r="O33" s="44">
        <v>5538</v>
      </c>
      <c r="P33" s="44"/>
      <c r="Q33" s="45">
        <f t="shared" si="0"/>
        <v>3782.22</v>
      </c>
      <c r="S33" s="43" t="s">
        <v>169</v>
      </c>
      <c r="T33" s="44">
        <v>12890</v>
      </c>
      <c r="U33" s="44">
        <v>6447</v>
      </c>
      <c r="V33" s="44"/>
      <c r="W33" s="45">
        <f t="shared" si="2"/>
        <v>4356.82</v>
      </c>
    </row>
  </sheetData>
  <conditionalFormatting sqref="C16:D17">
    <cfRule type="expression" dxfId="230" priority="404">
      <formula>C16&gt;=C$13</formula>
    </cfRule>
    <cfRule type="expression" dxfId="229" priority="405">
      <formula>C16&lt;C$13</formula>
    </cfRule>
  </conditionalFormatting>
  <conditionalFormatting sqref="G10:H27 H11:I27">
    <cfRule type="expression" dxfId="228" priority="413">
      <formula>$G10=$B$13</formula>
    </cfRule>
  </conditionalFormatting>
  <conditionalFormatting sqref="H10:H27 N10:N33 T10:T33">
    <cfRule type="expression" dxfId="227" priority="410">
      <formula>AND(H10&gt;=$C$13,COUNTIF(H$10:H10,"&gt;="&amp;$C$13)=1)</formula>
    </cfRule>
  </conditionalFormatting>
  <conditionalFormatting sqref="J10:J27">
    <cfRule type="expression" dxfId="226" priority="3">
      <formula>AND(I10&gt;=$D$13*$B$9,COUNTIF(I$10:I10,"&gt;="&amp;$D$13*$B$9)=1)</formula>
    </cfRule>
  </conditionalFormatting>
  <conditionalFormatting sqref="K10:K27">
    <cfRule type="cellIs" dxfId="225" priority="5" operator="greaterThan">
      <formula>$B$8</formula>
    </cfRule>
  </conditionalFormatting>
  <conditionalFormatting sqref="M10:M33">
    <cfRule type="expression" dxfId="224" priority="415">
      <formula>$M10=$B$13</formula>
    </cfRule>
  </conditionalFormatting>
  <conditionalFormatting sqref="O11:P33 U11:V33 O10 U10 I10:I27 R34">
    <cfRule type="expression" dxfId="223" priority="406">
      <formula>AND(I10&gt;=$D$13,COUNTIF(I$10:I10,"&gt;="&amp;$D$13)=1)</formula>
    </cfRule>
  </conditionalFormatting>
  <conditionalFormatting sqref="P10:P33">
    <cfRule type="expression" dxfId="222" priority="2">
      <formula>AND(O10&gt;=$D$13*$B$9,COUNTIF(O$10:O10,"&gt;="&amp;$D$13*$B$9)=1)</formula>
    </cfRule>
  </conditionalFormatting>
  <conditionalFormatting sqref="Q10:Q33">
    <cfRule type="cellIs" dxfId="221" priority="6" operator="greaterThan">
      <formula>$B$8</formula>
    </cfRule>
  </conditionalFormatting>
  <conditionalFormatting sqref="V10:V33">
    <cfRule type="expression" dxfId="220" priority="1">
      <formula>AND(U10&gt;=$D$13*$B$9,COUNTIF(U$10:U10,"&gt;="&amp;$D$13*$B$9)=1)</formula>
    </cfRule>
  </conditionalFormatting>
  <conditionalFormatting sqref="W10:W33">
    <cfRule type="cellIs" dxfId="219" priority="4" operator="greaterThan">
      <formula>$B$8</formula>
    </cfRule>
  </conditionalFormatting>
  <dataValidations disablePrompts="1" count="2">
    <dataValidation type="list" allowBlank="1" showInputMessage="1" showErrorMessage="1" sqref="B13 B16:B17" xr:uid="{9C2EF97D-BB12-4CB0-9E8D-E4E3E9F8619B}">
      <formula1>INDIRECT(A13&amp;"[[#All];[Profile]]")</formula1>
    </dataValidation>
    <dataValidation type="list" allowBlank="1" showInputMessage="1" showErrorMessage="1" sqref="A13 A16:A17" xr:uid="{FDA1DD9C-C709-4B8F-858A-1F07AEFB4FD4}">
      <formula1>Profiles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5E6D-D454-4A2E-8E16-013E0B4ED0E4}">
  <sheetPr codeName="Sheet2"/>
  <dimension ref="A1:AL38"/>
  <sheetViews>
    <sheetView topLeftCell="C4" workbookViewId="0">
      <selection activeCell="B30" sqref="B30"/>
    </sheetView>
  </sheetViews>
  <sheetFormatPr defaultRowHeight="15" x14ac:dyDescent="0.25"/>
  <cols>
    <col min="1" max="1" width="14.28515625" bestFit="1" customWidth="1"/>
    <col min="2" max="2" width="12" bestFit="1" customWidth="1"/>
    <col min="25" max="25" width="9.85546875" bestFit="1" customWidth="1"/>
    <col min="26" max="26" width="11.140625" bestFit="1" customWidth="1"/>
    <col min="27" max="27" width="12.140625" bestFit="1" customWidth="1"/>
  </cols>
  <sheetData>
    <row r="1" spans="1:38" x14ac:dyDescent="0.25">
      <c r="A1" s="16" t="s">
        <v>143</v>
      </c>
    </row>
    <row r="2" spans="1:38" x14ac:dyDescent="0.25">
      <c r="A2" s="19" t="s">
        <v>144</v>
      </c>
      <c r="V2" s="14" t="s">
        <v>218</v>
      </c>
      <c r="AE2" s="14" t="s">
        <v>219</v>
      </c>
    </row>
    <row r="3" spans="1:38" x14ac:dyDescent="0.25">
      <c r="K3" t="s">
        <v>206</v>
      </c>
      <c r="N3" t="s">
        <v>118</v>
      </c>
      <c r="O3" t="s">
        <v>119</v>
      </c>
      <c r="P3" t="s">
        <v>120</v>
      </c>
      <c r="Q3" t="s">
        <v>114</v>
      </c>
      <c r="R3" t="s">
        <v>216</v>
      </c>
      <c r="S3" t="s">
        <v>217</v>
      </c>
      <c r="V3" t="s">
        <v>208</v>
      </c>
      <c r="W3" t="s">
        <v>209</v>
      </c>
      <c r="X3" t="s">
        <v>123</v>
      </c>
      <c r="Y3" t="s">
        <v>124</v>
      </c>
      <c r="Z3" t="s">
        <v>125</v>
      </c>
      <c r="AA3" t="s">
        <v>207</v>
      </c>
      <c r="AB3" t="s">
        <v>113</v>
      </c>
      <c r="AC3" t="s">
        <v>213</v>
      </c>
      <c r="AE3" t="s">
        <v>211</v>
      </c>
      <c r="AF3" t="s">
        <v>212</v>
      </c>
      <c r="AG3" t="s">
        <v>122</v>
      </c>
      <c r="AH3" t="s">
        <v>210</v>
      </c>
      <c r="AI3" t="s">
        <v>136</v>
      </c>
      <c r="AJ3" t="s">
        <v>137</v>
      </c>
      <c r="AK3" t="s">
        <v>214</v>
      </c>
      <c r="AL3" t="s">
        <v>215</v>
      </c>
    </row>
    <row r="4" spans="1:38" x14ac:dyDescent="0.25">
      <c r="A4" t="s">
        <v>118</v>
      </c>
      <c r="B4" s="16">
        <v>5.0999999999999996</v>
      </c>
      <c r="C4" t="s">
        <v>26</v>
      </c>
      <c r="N4" t="s">
        <v>30</v>
      </c>
      <c r="O4" t="s">
        <v>220</v>
      </c>
      <c r="P4" t="s">
        <v>220</v>
      </c>
      <c r="Q4" t="s">
        <v>30</v>
      </c>
      <c r="R4" t="s">
        <v>221</v>
      </c>
      <c r="S4" t="s">
        <v>221</v>
      </c>
      <c r="X4" t="s">
        <v>222</v>
      </c>
      <c r="Z4" t="s">
        <v>16</v>
      </c>
      <c r="AA4" t="s">
        <v>223</v>
      </c>
      <c r="AB4" t="s">
        <v>223</v>
      </c>
      <c r="AG4" t="s">
        <v>222</v>
      </c>
      <c r="AH4" t="s">
        <v>134</v>
      </c>
      <c r="AI4" t="s">
        <v>224</v>
      </c>
      <c r="AJ4" t="s">
        <v>225</v>
      </c>
      <c r="AK4" t="s">
        <v>225</v>
      </c>
    </row>
    <row r="5" spans="1:38" x14ac:dyDescent="0.25">
      <c r="A5" t="s">
        <v>114</v>
      </c>
      <c r="B5" s="16">
        <f>AVERAGE(4.2,3.5)</f>
        <v>3.85</v>
      </c>
      <c r="C5" t="s">
        <v>26</v>
      </c>
      <c r="K5" s="16" t="s">
        <v>205</v>
      </c>
      <c r="L5" s="17" t="s">
        <v>130</v>
      </c>
      <c r="M5" s="17" t="s">
        <v>94</v>
      </c>
      <c r="N5" s="16">
        <v>9.1999999999999993</v>
      </c>
      <c r="O5" s="16">
        <v>1</v>
      </c>
      <c r="P5" s="16">
        <v>2.4</v>
      </c>
      <c r="Q5" s="16">
        <v>3.7</v>
      </c>
      <c r="R5" s="15">
        <f ca="1">AC5</f>
        <v>0.83157771779759737</v>
      </c>
      <c r="S5" s="15">
        <f ca="1">AL5</f>
        <v>0.44108169014084497</v>
      </c>
      <c r="V5" s="16">
        <v>1</v>
      </c>
      <c r="W5" s="16">
        <v>1</v>
      </c>
      <c r="X5" s="20">
        <f>Q5*(V5*O5+W5*P5)</f>
        <v>12.58</v>
      </c>
      <c r="Y5" s="16">
        <v>250</v>
      </c>
      <c r="Z5" s="20">
        <f>N5*1000/Y5</f>
        <v>36.799999999999997</v>
      </c>
      <c r="AA5" s="20">
        <f>5*X5*(N5*1000)^4/(384*210000*Z5)/(10^6)</f>
        <v>151.84609126984128</v>
      </c>
      <c r="AB5" s="20">
        <f ca="1">VLOOKUP(M5,INDIRECT(L5),13,FALSE)</f>
        <v>182.6</v>
      </c>
      <c r="AC5" s="15">
        <f ca="1">AA5/AB5</f>
        <v>0.83157771779759737</v>
      </c>
      <c r="AE5" s="16">
        <v>1.2</v>
      </c>
      <c r="AF5" s="16">
        <v>1.5</v>
      </c>
      <c r="AG5" s="20">
        <f>Q5*(AE5*O5+AF5*P5)</f>
        <v>17.760000000000002</v>
      </c>
      <c r="AH5" s="20">
        <f>AG5*N5^2/8</f>
        <v>187.90079999999998</v>
      </c>
      <c r="AI5" s="20">
        <f>355/1.05</f>
        <v>338.09523809523807</v>
      </c>
      <c r="AJ5" s="20">
        <f>AH5*10^6/AI5/1000</f>
        <v>555.76292957746466</v>
      </c>
      <c r="AK5" s="20">
        <f ca="1">VLOOKUP(M5,INDIRECT(L5),15,FALSE)</f>
        <v>1260</v>
      </c>
      <c r="AL5" s="15">
        <f ca="1">AJ5/AK5</f>
        <v>0.44108169014084497</v>
      </c>
    </row>
    <row r="7" spans="1:38" x14ac:dyDescent="0.25">
      <c r="A7" t="s">
        <v>119</v>
      </c>
      <c r="B7" s="16">
        <v>1.5</v>
      </c>
      <c r="C7" t="s">
        <v>116</v>
      </c>
    </row>
    <row r="8" spans="1:38" x14ac:dyDescent="0.25">
      <c r="A8" t="s">
        <v>120</v>
      </c>
      <c r="B8" s="16">
        <v>2.4</v>
      </c>
      <c r="C8" t="s">
        <v>116</v>
      </c>
    </row>
    <row r="9" spans="1:38" x14ac:dyDescent="0.25">
      <c r="E9" s="18" t="s">
        <v>203</v>
      </c>
      <c r="F9" s="18" t="s">
        <v>204</v>
      </c>
    </row>
    <row r="10" spans="1:38" x14ac:dyDescent="0.25">
      <c r="A10" t="s">
        <v>115</v>
      </c>
      <c r="B10" s="20">
        <f>B5*B7</f>
        <v>5.7750000000000004</v>
      </c>
      <c r="C10" t="s">
        <v>121</v>
      </c>
      <c r="E10" s="16">
        <v>1.2</v>
      </c>
      <c r="F10" s="16">
        <v>1</v>
      </c>
    </row>
    <row r="11" spans="1:38" x14ac:dyDescent="0.25">
      <c r="A11" t="s">
        <v>117</v>
      </c>
      <c r="B11" s="20">
        <f>B5*B8</f>
        <v>9.24</v>
      </c>
      <c r="C11" t="s">
        <v>121</v>
      </c>
      <c r="E11" s="16">
        <v>1.5</v>
      </c>
      <c r="F11" s="16">
        <v>1</v>
      </c>
    </row>
    <row r="13" spans="1:38" x14ac:dyDescent="0.25">
      <c r="A13" t="s">
        <v>122</v>
      </c>
      <c r="B13" s="19">
        <f>E10*B10+E11*B11</f>
        <v>20.79</v>
      </c>
      <c r="C13" t="s">
        <v>121</v>
      </c>
    </row>
    <row r="14" spans="1:38" x14ac:dyDescent="0.25">
      <c r="A14" t="s">
        <v>123</v>
      </c>
      <c r="B14" s="19">
        <f>B10*F10+B11*F11</f>
        <v>15.015000000000001</v>
      </c>
      <c r="C14" t="s">
        <v>121</v>
      </c>
    </row>
    <row r="16" spans="1:38" x14ac:dyDescent="0.25">
      <c r="A16" s="14" t="s">
        <v>127</v>
      </c>
    </row>
    <row r="17" spans="1:10" x14ac:dyDescent="0.25">
      <c r="A17" t="s">
        <v>124</v>
      </c>
      <c r="B17" s="16">
        <v>250</v>
      </c>
    </row>
    <row r="18" spans="1:10" x14ac:dyDescent="0.25">
      <c r="A18" t="s">
        <v>125</v>
      </c>
      <c r="B18" s="33">
        <f>B4*1000/B17</f>
        <v>20.399999999999999</v>
      </c>
      <c r="C18" t="s">
        <v>126</v>
      </c>
      <c r="D18" t="s">
        <v>229</v>
      </c>
    </row>
    <row r="21" spans="1:10" x14ac:dyDescent="0.25">
      <c r="A21" t="s">
        <v>131</v>
      </c>
      <c r="B21" s="20">
        <f>5*B14*(B4*1000)^4/(384*210000*B18)/(10^6)</f>
        <v>30.874174804687499</v>
      </c>
      <c r="C21" t="s">
        <v>129</v>
      </c>
    </row>
    <row r="23" spans="1:10" x14ac:dyDescent="0.25">
      <c r="A23" s="14" t="s">
        <v>132</v>
      </c>
    </row>
    <row r="24" spans="1:10" x14ac:dyDescent="0.25">
      <c r="A24" t="s">
        <v>133</v>
      </c>
      <c r="B24" s="20">
        <f>B13*B4^2/8</f>
        <v>67.593487499999995</v>
      </c>
      <c r="C24" t="s">
        <v>134</v>
      </c>
    </row>
    <row r="25" spans="1:10" x14ac:dyDescent="0.25">
      <c r="A25" t="s">
        <v>135</v>
      </c>
      <c r="B25" s="19">
        <v>355</v>
      </c>
    </row>
    <row r="26" spans="1:10" x14ac:dyDescent="0.25">
      <c r="A26" t="s">
        <v>136</v>
      </c>
      <c r="B26" s="20">
        <f>B25/1.05</f>
        <v>338.09523809523807</v>
      </c>
    </row>
    <row r="27" spans="1:10" x14ac:dyDescent="0.25">
      <c r="A27" t="s">
        <v>137</v>
      </c>
      <c r="B27" s="20">
        <f>B24*10^6/B26/1000</f>
        <v>199.92439964788733</v>
      </c>
      <c r="C27" t="s">
        <v>138</v>
      </c>
    </row>
    <row r="29" spans="1:10" x14ac:dyDescent="0.25">
      <c r="A29" t="s">
        <v>171</v>
      </c>
      <c r="B29" s="21" t="s">
        <v>202</v>
      </c>
      <c r="E29" s="21" t="s">
        <v>130</v>
      </c>
      <c r="H29" s="21" t="s">
        <v>170</v>
      </c>
      <c r="J29" s="21"/>
    </row>
    <row r="30" spans="1:10" x14ac:dyDescent="0.25">
      <c r="A30" t="s">
        <v>128</v>
      </c>
      <c r="B30" s="17" t="s">
        <v>192</v>
      </c>
      <c r="E30" s="17" t="s">
        <v>89</v>
      </c>
      <c r="H30" s="17" t="s">
        <v>196</v>
      </c>
    </row>
    <row r="31" spans="1:10" x14ac:dyDescent="0.25">
      <c r="A31" t="s">
        <v>113</v>
      </c>
      <c r="B31" s="19">
        <f ca="1">VLOOKUP(B30,INDIRECT(B29),13,FALSE)</f>
        <v>38.92</v>
      </c>
      <c r="C31" t="s">
        <v>129</v>
      </c>
      <c r="E31" s="19">
        <f ca="1">VLOOKUP(E30,INDIRECT(E29),13,FALSE)</f>
        <v>36.92</v>
      </c>
      <c r="F31" t="s">
        <v>129</v>
      </c>
      <c r="H31" s="19" t="e">
        <f ca="1">VLOOKUP(H30,INDIRECT(H29),13,FALSE)</f>
        <v>#N/A</v>
      </c>
      <c r="I31" t="s">
        <v>129</v>
      </c>
    </row>
    <row r="32" spans="1:10" x14ac:dyDescent="0.25">
      <c r="A32" t="s">
        <v>141</v>
      </c>
      <c r="B32" s="19">
        <f ca="1">VLOOKUP(B30,INDIRECT(B29),15,FALSE)</f>
        <v>324.3</v>
      </c>
      <c r="C32" t="s">
        <v>142</v>
      </c>
      <c r="E32" s="19">
        <f ca="1">VLOOKUP(E30,INDIRECT(E29),15,FALSE)</f>
        <v>388.6</v>
      </c>
      <c r="F32" t="s">
        <v>142</v>
      </c>
      <c r="H32" s="19" t="e">
        <f ca="1">VLOOKUP(H30,INDIRECT(H29),15,FALSE)</f>
        <v>#N/A</v>
      </c>
      <c r="I32" t="s">
        <v>142</v>
      </c>
    </row>
    <row r="33" spans="1:9" x14ac:dyDescent="0.25">
      <c r="A33" t="s">
        <v>230</v>
      </c>
      <c r="B33" s="19"/>
      <c r="E33" s="19"/>
      <c r="H33" s="19"/>
    </row>
    <row r="34" spans="1:9" x14ac:dyDescent="0.25">
      <c r="A34" t="s">
        <v>139</v>
      </c>
      <c r="B34" s="15">
        <f ca="1">$B$21/B31</f>
        <v>0.79327273393338893</v>
      </c>
      <c r="E34" s="15">
        <f ca="1">$B$21/E31</f>
        <v>0.83624525473151401</v>
      </c>
      <c r="H34" s="15" t="e">
        <f ca="1">$B$21/H31</f>
        <v>#N/A</v>
      </c>
    </row>
    <row r="35" spans="1:9" x14ac:dyDescent="0.25">
      <c r="A35" t="s">
        <v>140</v>
      </c>
      <c r="B35" s="15">
        <f ca="1">$B$27/B32</f>
        <v>0.61647980156610338</v>
      </c>
      <c r="E35" s="15">
        <f ca="1">$B$27/E32</f>
        <v>0.51447349368987982</v>
      </c>
      <c r="H35" s="15" t="e">
        <f ca="1">$B$27/H32</f>
        <v>#N/A</v>
      </c>
    </row>
    <row r="37" spans="1:9" x14ac:dyDescent="0.25">
      <c r="A37" t="s">
        <v>26</v>
      </c>
      <c r="B37" s="31">
        <f ca="1">VLOOKUP(B30,INDIRECT(B29),8,FALSE)</f>
        <v>30.7</v>
      </c>
      <c r="C37" t="s">
        <v>182</v>
      </c>
      <c r="E37" s="31">
        <f ca="1">VLOOKUP(E30,INDIRECT(E29),8,FALSE)</f>
        <v>42.3</v>
      </c>
      <c r="F37" t="s">
        <v>182</v>
      </c>
      <c r="H37" s="31" t="e">
        <f ca="1">VLOOKUP(H30,INDIRECT(H29),8,FALSE)</f>
        <v>#N/A</v>
      </c>
      <c r="I37" t="s">
        <v>182</v>
      </c>
    </row>
    <row r="38" spans="1:9" x14ac:dyDescent="0.25">
      <c r="A38" t="s">
        <v>181</v>
      </c>
      <c r="B38" s="31">
        <f ca="1">B37*$B$4</f>
        <v>156.57</v>
      </c>
      <c r="C38" t="s">
        <v>180</v>
      </c>
      <c r="E38" s="31">
        <f ca="1">E37*$B$4</f>
        <v>215.72999999999996</v>
      </c>
      <c r="F38" t="s">
        <v>180</v>
      </c>
      <c r="H38" s="31" t="e">
        <f ca="1">H37*$B$4</f>
        <v>#N/A</v>
      </c>
      <c r="I38" t="s">
        <v>180</v>
      </c>
    </row>
  </sheetData>
  <conditionalFormatting sqref="B34:B35">
    <cfRule type="cellIs" dxfId="218" priority="21" operator="lessThan">
      <formula>1</formula>
    </cfRule>
    <cfRule type="cellIs" dxfId="217" priority="22" operator="greaterThan">
      <formula>1</formula>
    </cfRule>
  </conditionalFormatting>
  <conditionalFormatting sqref="E34:E35">
    <cfRule type="cellIs" dxfId="216" priority="11" operator="lessThan">
      <formula>1</formula>
    </cfRule>
    <cfRule type="cellIs" dxfId="215" priority="12" operator="greaterThan">
      <formula>1</formula>
    </cfRule>
  </conditionalFormatting>
  <conditionalFormatting sqref="H34:H35">
    <cfRule type="cellIs" dxfId="214" priority="9" operator="lessThan">
      <formula>1</formula>
    </cfRule>
    <cfRule type="cellIs" dxfId="213" priority="10" operator="greaterThan">
      <formula>1</formula>
    </cfRule>
  </conditionalFormatting>
  <conditionalFormatting sqref="R5:S5">
    <cfRule type="cellIs" dxfId="212" priority="1" operator="lessThan">
      <formula>1</formula>
    </cfRule>
    <cfRule type="cellIs" dxfId="211" priority="2" operator="greaterThan">
      <formula>1</formula>
    </cfRule>
  </conditionalFormatting>
  <conditionalFormatting sqref="AC5">
    <cfRule type="cellIs" dxfId="210" priority="7" operator="lessThan">
      <formula>1</formula>
    </cfRule>
    <cfRule type="cellIs" dxfId="209" priority="8" operator="greaterThan">
      <formula>1</formula>
    </cfRule>
  </conditionalFormatting>
  <conditionalFormatting sqref="AL5">
    <cfRule type="cellIs" dxfId="208" priority="5" operator="lessThan">
      <formula>1</formula>
    </cfRule>
    <cfRule type="cellIs" dxfId="207" priority="6" operator="greaterThan">
      <formula>1</formula>
    </cfRule>
  </conditionalFormatting>
  <dataValidations count="3">
    <dataValidation type="list" allowBlank="1" showInputMessage="1" showErrorMessage="1" sqref="B29 J29 E29 H29 L5" xr:uid="{E1A6D354-F1F0-46EC-A8DB-4623377A8CD4}">
      <formula1>Profiles</formula1>
    </dataValidation>
    <dataValidation type="list" allowBlank="1" showInputMessage="1" showErrorMessage="1" sqref="B30 J30 E30 H30" xr:uid="{F3758010-8350-4C3E-904F-483CE396C9C0}">
      <formula1>INDIRECT(B29&amp;"[[#All];[Profile]]")</formula1>
    </dataValidation>
    <dataValidation type="list" allowBlank="1" showInputMessage="1" showErrorMessage="1" sqref="M5" xr:uid="{8D19D618-EBCF-4809-B43D-C2C774F06DE2}">
      <formula1>INDIRECT(L5&amp;"[[#All];[Profile]]")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B60E-D986-4532-AB0A-05764CCA26F0}">
  <sheetPr codeName="Sheet3"/>
  <dimension ref="A1:AJ26"/>
  <sheetViews>
    <sheetView topLeftCell="A4" workbookViewId="0">
      <selection activeCell="H25" sqref="H25"/>
    </sheetView>
  </sheetViews>
  <sheetFormatPr defaultRowHeight="15" x14ac:dyDescent="0.25"/>
  <cols>
    <col min="1" max="1" width="10.28515625" customWidth="1"/>
    <col min="2" max="2" width="12.85546875" customWidth="1"/>
    <col min="32" max="36" width="12.85546875" customWidth="1"/>
  </cols>
  <sheetData>
    <row r="1" spans="1:36" x14ac:dyDescent="0.25">
      <c r="A1" t="s">
        <v>0</v>
      </c>
    </row>
    <row r="2" spans="1:36" ht="244.5" thickBot="1" x14ac:dyDescent="0.3">
      <c r="A2" s="1" t="s">
        <v>183</v>
      </c>
    </row>
    <row r="3" spans="1:36" ht="33" customHeight="1" thickBot="1" x14ac:dyDescent="0.3">
      <c r="A3" s="2"/>
      <c r="B3" s="3"/>
      <c r="C3" s="69" t="s">
        <v>2</v>
      </c>
      <c r="D3" s="71"/>
      <c r="E3" s="71"/>
      <c r="F3" s="71"/>
      <c r="G3" s="70"/>
      <c r="H3" s="69" t="s">
        <v>3</v>
      </c>
      <c r="I3" s="71"/>
      <c r="J3" s="71"/>
      <c r="K3" s="71"/>
      <c r="L3" s="70"/>
      <c r="M3" s="69" t="s">
        <v>4</v>
      </c>
      <c r="N3" s="71"/>
      <c r="O3" s="71"/>
      <c r="P3" s="70"/>
      <c r="Q3" s="69" t="s">
        <v>5</v>
      </c>
      <c r="R3" s="71"/>
      <c r="S3" s="71"/>
      <c r="T3" s="70"/>
      <c r="U3" s="69" t="s">
        <v>6</v>
      </c>
      <c r="V3" s="71"/>
      <c r="W3" s="71"/>
      <c r="X3" s="70"/>
      <c r="Y3" s="69" t="s">
        <v>7</v>
      </c>
      <c r="Z3" s="71"/>
      <c r="AA3" s="70"/>
      <c r="AB3" s="69" t="s">
        <v>8</v>
      </c>
      <c r="AC3" s="70"/>
      <c r="AD3" s="69" t="s">
        <v>9</v>
      </c>
      <c r="AE3" s="70"/>
      <c r="AF3" s="69" t="s">
        <v>10</v>
      </c>
      <c r="AG3" s="70"/>
      <c r="AH3" s="69" t="s">
        <v>11</v>
      </c>
      <c r="AI3" s="71"/>
      <c r="AJ3" s="70"/>
    </row>
    <row r="4" spans="1:36" ht="147.75" customHeight="1" x14ac:dyDescent="0.25">
      <c r="A4" s="74" t="s">
        <v>12</v>
      </c>
      <c r="B4" s="74" t="s">
        <v>13</v>
      </c>
      <c r="C4" s="6" t="s">
        <v>14</v>
      </c>
      <c r="D4" s="6" t="s">
        <v>17</v>
      </c>
      <c r="E4" s="6" t="s">
        <v>19</v>
      </c>
      <c r="F4" s="6" t="s">
        <v>21</v>
      </c>
      <c r="G4" s="5" t="s">
        <v>23</v>
      </c>
      <c r="H4" s="6" t="s">
        <v>25</v>
      </c>
      <c r="I4" s="6" t="s">
        <v>28</v>
      </c>
      <c r="J4" s="6" t="s">
        <v>31</v>
      </c>
      <c r="K4" s="6" t="s">
        <v>34</v>
      </c>
      <c r="L4" s="5" t="s">
        <v>37</v>
      </c>
      <c r="M4" s="6" t="s">
        <v>39</v>
      </c>
      <c r="N4" s="6" t="s">
        <v>42</v>
      </c>
      <c r="O4" s="6" t="s">
        <v>44</v>
      </c>
      <c r="P4" s="5" t="s">
        <v>47</v>
      </c>
      <c r="Q4" s="6" t="s">
        <v>39</v>
      </c>
      <c r="R4" s="6" t="s">
        <v>42</v>
      </c>
      <c r="S4" s="6" t="s">
        <v>44</v>
      </c>
      <c r="T4" s="5" t="s">
        <v>47</v>
      </c>
      <c r="U4" s="6" t="s">
        <v>53</v>
      </c>
      <c r="V4" s="6" t="s">
        <v>56</v>
      </c>
      <c r="W4" s="6" t="s">
        <v>58</v>
      </c>
      <c r="X4" s="5" t="s">
        <v>61</v>
      </c>
      <c r="Y4" s="6" t="s">
        <v>63</v>
      </c>
      <c r="Z4" s="6" t="s">
        <v>66</v>
      </c>
      <c r="AA4" s="5" t="s">
        <v>68</v>
      </c>
      <c r="AB4" s="6" t="s">
        <v>70</v>
      </c>
      <c r="AC4" s="5" t="s">
        <v>73</v>
      </c>
      <c r="AD4" s="6" t="s">
        <v>70</v>
      </c>
      <c r="AE4" s="5" t="s">
        <v>73</v>
      </c>
      <c r="AF4" s="76" t="s">
        <v>77</v>
      </c>
      <c r="AG4" s="67" t="s">
        <v>78</v>
      </c>
      <c r="AH4" s="76" t="s">
        <v>79</v>
      </c>
      <c r="AI4" s="72" t="s">
        <v>80</v>
      </c>
      <c r="AJ4" s="67" t="s">
        <v>81</v>
      </c>
    </row>
    <row r="5" spans="1:36" ht="16.5" x14ac:dyDescent="0.25">
      <c r="A5" s="75"/>
      <c r="B5" s="75"/>
      <c r="C5" s="4" t="s">
        <v>15</v>
      </c>
      <c r="D5" s="4" t="s">
        <v>18</v>
      </c>
      <c r="E5" s="4" t="s">
        <v>20</v>
      </c>
      <c r="F5" s="4" t="s">
        <v>22</v>
      </c>
      <c r="G5" s="7" t="s">
        <v>24</v>
      </c>
      <c r="H5" s="4" t="s">
        <v>26</v>
      </c>
      <c r="I5" s="4" t="s">
        <v>29</v>
      </c>
      <c r="J5" s="4" t="s">
        <v>32</v>
      </c>
      <c r="K5" s="4" t="s">
        <v>35</v>
      </c>
      <c r="L5" s="7" t="s">
        <v>38</v>
      </c>
      <c r="M5" s="4" t="s">
        <v>40</v>
      </c>
      <c r="N5" s="4" t="s">
        <v>43</v>
      </c>
      <c r="O5" s="4" t="s">
        <v>45</v>
      </c>
      <c r="P5" s="7" t="s">
        <v>48</v>
      </c>
      <c r="Q5" s="4" t="s">
        <v>49</v>
      </c>
      <c r="R5" s="4" t="s">
        <v>50</v>
      </c>
      <c r="S5" s="4" t="s">
        <v>51</v>
      </c>
      <c r="T5" s="7" t="s">
        <v>52</v>
      </c>
      <c r="U5" s="4" t="s">
        <v>54</v>
      </c>
      <c r="V5" s="4" t="s">
        <v>57</v>
      </c>
      <c r="W5" s="4" t="s">
        <v>59</v>
      </c>
      <c r="X5" s="7" t="s">
        <v>62</v>
      </c>
      <c r="Y5" s="4" t="s">
        <v>64</v>
      </c>
      <c r="Z5" s="4" t="s">
        <v>67</v>
      </c>
      <c r="AA5" s="7" t="s">
        <v>69</v>
      </c>
      <c r="AB5" s="4" t="s">
        <v>71</v>
      </c>
      <c r="AC5" s="7" t="s">
        <v>74</v>
      </c>
      <c r="AD5" s="4" t="s">
        <v>75</v>
      </c>
      <c r="AE5" s="7" t="s">
        <v>76</v>
      </c>
      <c r="AF5" s="77"/>
      <c r="AG5" s="68"/>
      <c r="AH5" s="77"/>
      <c r="AI5" s="73"/>
      <c r="AJ5" s="68"/>
    </row>
    <row r="6" spans="1:36" ht="33" x14ac:dyDescent="0.25">
      <c r="A6" s="75"/>
      <c r="B6" s="75"/>
      <c r="C6" s="4" t="s">
        <v>16</v>
      </c>
      <c r="D6" s="4" t="s">
        <v>16</v>
      </c>
      <c r="E6" s="4" t="s">
        <v>16</v>
      </c>
      <c r="F6" s="4" t="s">
        <v>16</v>
      </c>
      <c r="G6" s="7" t="s">
        <v>16</v>
      </c>
      <c r="H6" s="4" t="s">
        <v>27</v>
      </c>
      <c r="I6" s="4" t="s">
        <v>30</v>
      </c>
      <c r="J6" s="4" t="s">
        <v>33</v>
      </c>
      <c r="K6" s="4" t="s">
        <v>33</v>
      </c>
      <c r="L6" s="7" t="s">
        <v>33</v>
      </c>
      <c r="M6" s="4" t="s">
        <v>41</v>
      </c>
      <c r="N6" s="4" t="s">
        <v>16</v>
      </c>
      <c r="O6" s="4" t="s">
        <v>46</v>
      </c>
      <c r="P6" s="7" t="s">
        <v>46</v>
      </c>
      <c r="Q6" s="4" t="s">
        <v>41</v>
      </c>
      <c r="R6" s="4" t="s">
        <v>16</v>
      </c>
      <c r="S6" s="4" t="s">
        <v>46</v>
      </c>
      <c r="T6" s="7" t="s">
        <v>46</v>
      </c>
      <c r="U6" s="4" t="s">
        <v>55</v>
      </c>
      <c r="V6" s="4" t="s">
        <v>46</v>
      </c>
      <c r="W6" s="4" t="s">
        <v>60</v>
      </c>
      <c r="X6" s="7" t="s">
        <v>55</v>
      </c>
      <c r="Y6" s="4" t="s">
        <v>65</v>
      </c>
      <c r="Z6" s="4" t="s">
        <v>65</v>
      </c>
      <c r="AA6" s="7" t="s">
        <v>65</v>
      </c>
      <c r="AB6" s="4" t="s">
        <v>72</v>
      </c>
      <c r="AC6" s="7" t="s">
        <v>72</v>
      </c>
      <c r="AD6" s="4" t="s">
        <v>72</v>
      </c>
      <c r="AE6" s="7" t="s">
        <v>72</v>
      </c>
      <c r="AF6" s="77"/>
      <c r="AG6" s="68"/>
      <c r="AH6" s="77"/>
      <c r="AI6" s="73"/>
      <c r="AJ6" s="68"/>
    </row>
    <row r="7" spans="1:36" ht="33" x14ac:dyDescent="0.25">
      <c r="A7" s="75"/>
      <c r="B7" s="75"/>
      <c r="C7" s="4"/>
      <c r="D7" s="4"/>
      <c r="E7" s="4"/>
      <c r="F7" s="4"/>
      <c r="G7" s="7"/>
      <c r="H7" s="4"/>
      <c r="I7" s="4"/>
      <c r="J7" s="4"/>
      <c r="K7" s="4" t="s">
        <v>36</v>
      </c>
      <c r="L7" s="7"/>
      <c r="M7" s="4"/>
      <c r="N7" s="4"/>
      <c r="O7" s="4"/>
      <c r="P7" s="7"/>
      <c r="Q7" s="4"/>
      <c r="R7" s="4"/>
      <c r="S7" s="4"/>
      <c r="T7" s="7"/>
      <c r="U7" s="4"/>
      <c r="V7" s="4"/>
      <c r="W7" s="4"/>
      <c r="X7" s="7"/>
      <c r="Y7" s="4"/>
      <c r="Z7" s="4"/>
      <c r="AA7" s="7"/>
      <c r="AB7" s="4"/>
      <c r="AC7" s="7"/>
      <c r="AD7" s="4"/>
      <c r="AE7" s="7"/>
      <c r="AF7" s="77"/>
      <c r="AG7" s="68"/>
      <c r="AH7" s="77"/>
      <c r="AI7" s="73"/>
      <c r="AJ7" s="68"/>
    </row>
    <row r="8" spans="1:36" ht="17.25" thickBot="1" x14ac:dyDescent="0.3">
      <c r="A8" s="7" t="s">
        <v>12</v>
      </c>
      <c r="B8" s="7" t="s">
        <v>172</v>
      </c>
      <c r="C8" s="4" t="s">
        <v>15</v>
      </c>
      <c r="D8" s="4" t="s">
        <v>18</v>
      </c>
      <c r="E8" s="4" t="s">
        <v>20</v>
      </c>
      <c r="F8" s="4" t="s">
        <v>22</v>
      </c>
      <c r="G8" s="7" t="s">
        <v>24</v>
      </c>
      <c r="H8" s="4" t="s">
        <v>26</v>
      </c>
      <c r="I8" s="4" t="s">
        <v>29</v>
      </c>
      <c r="J8" s="4" t="s">
        <v>32</v>
      </c>
      <c r="K8" s="4" t="s">
        <v>35</v>
      </c>
      <c r="L8" s="7" t="s">
        <v>38</v>
      </c>
      <c r="M8" s="4" t="s">
        <v>40</v>
      </c>
      <c r="N8" s="4" t="s">
        <v>173</v>
      </c>
      <c r="O8" s="4" t="s">
        <v>45</v>
      </c>
      <c r="P8" s="7" t="s">
        <v>48</v>
      </c>
      <c r="Q8" s="4" t="s">
        <v>49</v>
      </c>
      <c r="R8" s="4" t="s">
        <v>174</v>
      </c>
      <c r="S8" s="4" t="s">
        <v>51</v>
      </c>
      <c r="T8" s="7" t="s">
        <v>52</v>
      </c>
      <c r="U8" s="4" t="s">
        <v>54</v>
      </c>
      <c r="V8" s="4" t="s">
        <v>57</v>
      </c>
      <c r="W8" s="4" t="s">
        <v>59</v>
      </c>
      <c r="X8" s="7" t="s">
        <v>62</v>
      </c>
      <c r="Y8" s="4" t="s">
        <v>64</v>
      </c>
      <c r="Z8" s="4" t="s">
        <v>67</v>
      </c>
      <c r="AA8" s="7" t="s">
        <v>69</v>
      </c>
      <c r="AB8" s="4" t="s">
        <v>71</v>
      </c>
      <c r="AC8" s="7" t="s">
        <v>74</v>
      </c>
      <c r="AD8" s="4" t="s">
        <v>75</v>
      </c>
      <c r="AE8" s="7" t="s">
        <v>76</v>
      </c>
      <c r="AF8" s="4" t="s">
        <v>175</v>
      </c>
      <c r="AG8" s="7" t="s">
        <v>176</v>
      </c>
      <c r="AH8" s="4" t="s">
        <v>177</v>
      </c>
      <c r="AI8" s="4" t="s">
        <v>178</v>
      </c>
      <c r="AJ8" s="4" t="s">
        <v>179</v>
      </c>
    </row>
    <row r="9" spans="1:36" ht="17.25" thickBot="1" x14ac:dyDescent="0.3">
      <c r="A9" s="22" t="s">
        <v>184</v>
      </c>
      <c r="B9" s="8" t="s">
        <v>83</v>
      </c>
      <c r="C9" s="9">
        <v>80</v>
      </c>
      <c r="D9" s="9">
        <v>46</v>
      </c>
      <c r="E9" s="9">
        <v>3.8</v>
      </c>
      <c r="F9" s="9">
        <v>5.2</v>
      </c>
      <c r="G9" s="10">
        <v>5</v>
      </c>
      <c r="H9" s="9">
        <v>6</v>
      </c>
      <c r="I9" s="9">
        <v>0.32800000000000001</v>
      </c>
      <c r="J9" s="9">
        <v>764</v>
      </c>
      <c r="K9" s="9">
        <v>358</v>
      </c>
      <c r="L9" s="10">
        <v>478</v>
      </c>
      <c r="M9" s="9">
        <v>0.8014</v>
      </c>
      <c r="N9" s="9">
        <v>32.4</v>
      </c>
      <c r="O9" s="9">
        <v>20.03</v>
      </c>
      <c r="P9" s="10">
        <v>23.22</v>
      </c>
      <c r="Q9" s="9">
        <v>8.4889999999999993E-2</v>
      </c>
      <c r="R9" s="9">
        <v>10.5</v>
      </c>
      <c r="S9" s="9">
        <v>3.6909999999999998</v>
      </c>
      <c r="T9" s="10">
        <v>5.8179999999999996</v>
      </c>
      <c r="U9" s="9">
        <v>6.7270000000000003</v>
      </c>
      <c r="V9" s="9">
        <v>1.77</v>
      </c>
      <c r="W9" s="9">
        <v>115.1</v>
      </c>
      <c r="X9" s="10">
        <v>135.19999999999999</v>
      </c>
      <c r="Y9" s="9">
        <v>271.33999999999997</v>
      </c>
      <c r="Z9" s="9">
        <v>73.31</v>
      </c>
      <c r="AA9" s="10">
        <v>98.05</v>
      </c>
      <c r="AB9" s="9">
        <v>7.11</v>
      </c>
      <c r="AC9" s="10">
        <v>8.24</v>
      </c>
      <c r="AD9" s="9">
        <v>1.31</v>
      </c>
      <c r="AE9" s="10">
        <v>2.0699999999999998</v>
      </c>
      <c r="AF9" s="9" t="s">
        <v>99</v>
      </c>
      <c r="AG9" s="10" t="s">
        <v>18</v>
      </c>
      <c r="AH9" s="9">
        <v>1</v>
      </c>
      <c r="AI9" s="9">
        <v>1</v>
      </c>
      <c r="AJ9" s="24">
        <v>1</v>
      </c>
    </row>
    <row r="10" spans="1:36" ht="17.25" thickBot="1" x14ac:dyDescent="0.3">
      <c r="A10" s="23" t="s">
        <v>185</v>
      </c>
      <c r="B10" s="11" t="s">
        <v>83</v>
      </c>
      <c r="C10" s="12">
        <v>100</v>
      </c>
      <c r="D10" s="12">
        <v>55</v>
      </c>
      <c r="E10" s="12">
        <v>4.0999999999999996</v>
      </c>
      <c r="F10" s="12">
        <v>5.7</v>
      </c>
      <c r="G10" s="13">
        <v>7</v>
      </c>
      <c r="H10" s="12">
        <v>8.1</v>
      </c>
      <c r="I10" s="12">
        <v>0.4</v>
      </c>
      <c r="J10" s="12">
        <v>1032</v>
      </c>
      <c r="K10" s="12">
        <v>508</v>
      </c>
      <c r="L10" s="13">
        <v>627</v>
      </c>
      <c r="M10" s="12">
        <v>1.71</v>
      </c>
      <c r="N10" s="12">
        <v>40.700000000000003</v>
      </c>
      <c r="O10" s="12">
        <v>34.200000000000003</v>
      </c>
      <c r="P10" s="13">
        <v>39.409999999999997</v>
      </c>
      <c r="Q10" s="12">
        <v>0.15920000000000001</v>
      </c>
      <c r="R10" s="12">
        <v>12.4</v>
      </c>
      <c r="S10" s="12">
        <v>5.7889999999999997</v>
      </c>
      <c r="T10" s="13">
        <v>9.1460000000000008</v>
      </c>
      <c r="U10" s="12">
        <v>11.53</v>
      </c>
      <c r="V10" s="12">
        <v>2.8119999999999998</v>
      </c>
      <c r="W10" s="12">
        <v>342.1</v>
      </c>
      <c r="X10" s="13">
        <v>266.8</v>
      </c>
      <c r="Y10" s="12">
        <v>366.47</v>
      </c>
      <c r="Z10" s="12">
        <v>104.22</v>
      </c>
      <c r="AA10" s="13">
        <v>128.51</v>
      </c>
      <c r="AB10" s="12">
        <v>12.14</v>
      </c>
      <c r="AC10" s="13">
        <v>13.99</v>
      </c>
      <c r="AD10" s="12">
        <v>2.0499999999999998</v>
      </c>
      <c r="AE10" s="13">
        <v>3.25</v>
      </c>
      <c r="AF10" s="12" t="s">
        <v>99</v>
      </c>
      <c r="AG10" s="13" t="s">
        <v>18</v>
      </c>
      <c r="AH10" s="12">
        <v>1</v>
      </c>
      <c r="AI10" s="12">
        <v>1</v>
      </c>
      <c r="AJ10" s="25">
        <v>1</v>
      </c>
    </row>
    <row r="11" spans="1:36" ht="17.25" thickBot="1" x14ac:dyDescent="0.3">
      <c r="A11" s="22" t="s">
        <v>186</v>
      </c>
      <c r="B11" s="8" t="s">
        <v>83</v>
      </c>
      <c r="C11" s="9">
        <v>120</v>
      </c>
      <c r="D11" s="9">
        <v>64</v>
      </c>
      <c r="E11" s="9">
        <v>4.4000000000000004</v>
      </c>
      <c r="F11" s="9">
        <v>6.3</v>
      </c>
      <c r="G11" s="10">
        <v>7</v>
      </c>
      <c r="H11" s="9">
        <v>10.4</v>
      </c>
      <c r="I11" s="9">
        <v>0.47499999999999998</v>
      </c>
      <c r="J11" s="9">
        <v>1321</v>
      </c>
      <c r="K11" s="9">
        <v>631</v>
      </c>
      <c r="L11" s="10">
        <v>806</v>
      </c>
      <c r="M11" s="9">
        <v>3.1779999999999999</v>
      </c>
      <c r="N11" s="9">
        <v>49</v>
      </c>
      <c r="O11" s="9">
        <v>52.96</v>
      </c>
      <c r="P11" s="10">
        <v>60.73</v>
      </c>
      <c r="Q11" s="9">
        <v>0.2767</v>
      </c>
      <c r="R11" s="9">
        <v>14.5</v>
      </c>
      <c r="S11" s="9">
        <v>8.6460000000000008</v>
      </c>
      <c r="T11" s="10">
        <v>13.58</v>
      </c>
      <c r="U11" s="9">
        <v>16.89</v>
      </c>
      <c r="V11" s="9">
        <v>3.839</v>
      </c>
      <c r="W11" s="9">
        <v>872</v>
      </c>
      <c r="X11" s="10">
        <v>483.4</v>
      </c>
      <c r="Y11" s="9">
        <v>468.96</v>
      </c>
      <c r="Z11" s="9">
        <v>129.24</v>
      </c>
      <c r="AA11" s="10">
        <v>165.28</v>
      </c>
      <c r="AB11" s="9">
        <v>18.8</v>
      </c>
      <c r="AC11" s="10">
        <v>21.56</v>
      </c>
      <c r="AD11" s="9">
        <v>3.07</v>
      </c>
      <c r="AE11" s="10">
        <v>4.82</v>
      </c>
      <c r="AF11" s="9" t="s">
        <v>99</v>
      </c>
      <c r="AG11" s="10" t="s">
        <v>18</v>
      </c>
      <c r="AH11" s="9">
        <v>1</v>
      </c>
      <c r="AI11" s="9">
        <v>1</v>
      </c>
      <c r="AJ11" s="24">
        <v>1</v>
      </c>
    </row>
    <row r="12" spans="1:36" ht="17.25" thickBot="1" x14ac:dyDescent="0.3">
      <c r="A12" s="23" t="s">
        <v>187</v>
      </c>
      <c r="B12" s="11" t="s">
        <v>83</v>
      </c>
      <c r="C12" s="12">
        <v>140</v>
      </c>
      <c r="D12" s="12">
        <v>73</v>
      </c>
      <c r="E12" s="12">
        <v>4.7</v>
      </c>
      <c r="F12" s="12">
        <v>6.9</v>
      </c>
      <c r="G12" s="13">
        <v>7</v>
      </c>
      <c r="H12" s="12">
        <v>12.9</v>
      </c>
      <c r="I12" s="12">
        <v>0.55100000000000005</v>
      </c>
      <c r="J12" s="12">
        <v>1643</v>
      </c>
      <c r="K12" s="12">
        <v>764</v>
      </c>
      <c r="L12" s="13">
        <v>1007</v>
      </c>
      <c r="M12" s="12">
        <v>5.4119999999999999</v>
      </c>
      <c r="N12" s="12">
        <v>57.4</v>
      </c>
      <c r="O12" s="12">
        <v>77.319999999999993</v>
      </c>
      <c r="P12" s="13">
        <v>88.34</v>
      </c>
      <c r="Q12" s="12">
        <v>0.44919999999999999</v>
      </c>
      <c r="R12" s="12">
        <v>16.5</v>
      </c>
      <c r="S12" s="12">
        <v>12.31</v>
      </c>
      <c r="T12" s="13">
        <v>19.25</v>
      </c>
      <c r="U12" s="12">
        <v>24.01</v>
      </c>
      <c r="V12" s="12">
        <v>5.109</v>
      </c>
      <c r="W12" s="12">
        <v>1951</v>
      </c>
      <c r="X12" s="13">
        <v>808.2</v>
      </c>
      <c r="Y12" s="12">
        <v>583.12</v>
      </c>
      <c r="Z12" s="12">
        <v>156.63999999999999</v>
      </c>
      <c r="AA12" s="13">
        <v>206.48</v>
      </c>
      <c r="AB12" s="12">
        <v>27.45</v>
      </c>
      <c r="AC12" s="13">
        <v>31.36</v>
      </c>
      <c r="AD12" s="12">
        <v>4.37</v>
      </c>
      <c r="AE12" s="13">
        <v>6.83</v>
      </c>
      <c r="AF12" s="12" t="s">
        <v>99</v>
      </c>
      <c r="AG12" s="13" t="s">
        <v>18</v>
      </c>
      <c r="AH12" s="12">
        <v>1</v>
      </c>
      <c r="AI12" s="12">
        <v>1</v>
      </c>
      <c r="AJ12" s="25">
        <v>1</v>
      </c>
    </row>
    <row r="13" spans="1:36" ht="17.25" thickBot="1" x14ac:dyDescent="0.3">
      <c r="A13" s="22" t="s">
        <v>188</v>
      </c>
      <c r="B13" s="8" t="s">
        <v>83</v>
      </c>
      <c r="C13" s="9">
        <v>160</v>
      </c>
      <c r="D13" s="9">
        <v>82</v>
      </c>
      <c r="E13" s="9">
        <v>5</v>
      </c>
      <c r="F13" s="9">
        <v>7.4</v>
      </c>
      <c r="G13" s="10">
        <v>9</v>
      </c>
      <c r="H13" s="9">
        <v>15.8</v>
      </c>
      <c r="I13" s="9">
        <v>0.623</v>
      </c>
      <c r="J13" s="9">
        <v>2009</v>
      </c>
      <c r="K13" s="9">
        <v>966</v>
      </c>
      <c r="L13" s="10">
        <v>1214</v>
      </c>
      <c r="M13" s="9">
        <v>8.6929999999999996</v>
      </c>
      <c r="N13" s="9">
        <v>65.8</v>
      </c>
      <c r="O13" s="9">
        <v>108.7</v>
      </c>
      <c r="P13" s="10">
        <v>123.9</v>
      </c>
      <c r="Q13" s="9">
        <v>0.68310000000000004</v>
      </c>
      <c r="R13" s="9">
        <v>18.399999999999999</v>
      </c>
      <c r="S13" s="9">
        <v>16.66</v>
      </c>
      <c r="T13" s="10">
        <v>26.1</v>
      </c>
      <c r="U13" s="9">
        <v>35.299999999999997</v>
      </c>
      <c r="V13" s="9">
        <v>7.06</v>
      </c>
      <c r="W13" s="9">
        <v>3889</v>
      </c>
      <c r="X13" s="10">
        <v>1252</v>
      </c>
      <c r="Y13" s="9">
        <v>713.24</v>
      </c>
      <c r="Z13" s="9">
        <v>197.94</v>
      </c>
      <c r="AA13" s="10">
        <v>248.74</v>
      </c>
      <c r="AB13" s="9">
        <v>38.57</v>
      </c>
      <c r="AC13" s="10">
        <v>43.97</v>
      </c>
      <c r="AD13" s="9">
        <v>5.92</v>
      </c>
      <c r="AE13" s="10">
        <v>9.27</v>
      </c>
      <c r="AF13" s="9" t="s">
        <v>99</v>
      </c>
      <c r="AG13" s="10" t="s">
        <v>18</v>
      </c>
      <c r="AH13" s="9">
        <v>1</v>
      </c>
      <c r="AI13" s="9">
        <v>1</v>
      </c>
      <c r="AJ13" s="24">
        <v>1</v>
      </c>
    </row>
    <row r="14" spans="1:36" ht="17.25" thickBot="1" x14ac:dyDescent="0.3">
      <c r="A14" s="23" t="s">
        <v>189</v>
      </c>
      <c r="B14" s="11" t="s">
        <v>83</v>
      </c>
      <c r="C14" s="12">
        <v>180</v>
      </c>
      <c r="D14" s="12">
        <v>91</v>
      </c>
      <c r="E14" s="12">
        <v>5.3</v>
      </c>
      <c r="F14" s="12">
        <v>8</v>
      </c>
      <c r="G14" s="13">
        <v>9</v>
      </c>
      <c r="H14" s="12">
        <v>18.8</v>
      </c>
      <c r="I14" s="12">
        <v>0.69799999999999995</v>
      </c>
      <c r="J14" s="12">
        <v>2395</v>
      </c>
      <c r="K14" s="12">
        <v>1125</v>
      </c>
      <c r="L14" s="13">
        <v>1456</v>
      </c>
      <c r="M14" s="12">
        <v>13.17</v>
      </c>
      <c r="N14" s="12">
        <v>74.2</v>
      </c>
      <c r="O14" s="12">
        <v>146.30000000000001</v>
      </c>
      <c r="P14" s="13">
        <v>166.4</v>
      </c>
      <c r="Q14" s="12">
        <v>1.0089999999999999</v>
      </c>
      <c r="R14" s="12">
        <v>20.5</v>
      </c>
      <c r="S14" s="12">
        <v>22.16</v>
      </c>
      <c r="T14" s="13">
        <v>34.6</v>
      </c>
      <c r="U14" s="12">
        <v>47.23</v>
      </c>
      <c r="V14" s="12">
        <v>8.9109999999999996</v>
      </c>
      <c r="W14" s="12">
        <v>7322</v>
      </c>
      <c r="X14" s="13">
        <v>1882</v>
      </c>
      <c r="Y14" s="12">
        <v>850.13</v>
      </c>
      <c r="Z14" s="12">
        <v>230.61</v>
      </c>
      <c r="AA14" s="13">
        <v>298.42</v>
      </c>
      <c r="AB14" s="12">
        <v>51.95</v>
      </c>
      <c r="AC14" s="13">
        <v>59.08</v>
      </c>
      <c r="AD14" s="12">
        <v>7.87</v>
      </c>
      <c r="AE14" s="13">
        <v>12.28</v>
      </c>
      <c r="AF14" s="12" t="s">
        <v>99</v>
      </c>
      <c r="AG14" s="13" t="s">
        <v>18</v>
      </c>
      <c r="AH14" s="12">
        <v>1</v>
      </c>
      <c r="AI14" s="12">
        <v>2</v>
      </c>
      <c r="AJ14" s="25">
        <v>1</v>
      </c>
    </row>
    <row r="15" spans="1:36" ht="17.25" thickBot="1" x14ac:dyDescent="0.3">
      <c r="A15" s="22" t="s">
        <v>190</v>
      </c>
      <c r="B15" s="8" t="s">
        <v>83</v>
      </c>
      <c r="C15" s="9">
        <v>200</v>
      </c>
      <c r="D15" s="9">
        <v>100</v>
      </c>
      <c r="E15" s="9">
        <v>5.6</v>
      </c>
      <c r="F15" s="9">
        <v>8.5</v>
      </c>
      <c r="G15" s="10">
        <v>12</v>
      </c>
      <c r="H15" s="9">
        <v>22.4</v>
      </c>
      <c r="I15" s="9">
        <v>0.76800000000000002</v>
      </c>
      <c r="J15" s="9">
        <v>2848</v>
      </c>
      <c r="K15" s="9">
        <v>1400</v>
      </c>
      <c r="L15" s="10">
        <v>1700</v>
      </c>
      <c r="M15" s="9">
        <v>19.43</v>
      </c>
      <c r="N15" s="9">
        <v>82.6</v>
      </c>
      <c r="O15" s="9">
        <v>194.3</v>
      </c>
      <c r="P15" s="10">
        <v>220.6</v>
      </c>
      <c r="Q15" s="9">
        <v>1.4239999999999999</v>
      </c>
      <c r="R15" s="9">
        <v>22.4</v>
      </c>
      <c r="S15" s="9">
        <v>28.47</v>
      </c>
      <c r="T15" s="10">
        <v>44.61</v>
      </c>
      <c r="U15" s="9">
        <v>68.459999999999994</v>
      </c>
      <c r="V15" s="9">
        <v>12.22</v>
      </c>
      <c r="W15" s="9">
        <v>12746</v>
      </c>
      <c r="X15" s="10">
        <v>2683</v>
      </c>
      <c r="Y15" s="9">
        <v>1011.19</v>
      </c>
      <c r="Z15" s="9">
        <v>286.95</v>
      </c>
      <c r="AA15" s="10">
        <v>348.43</v>
      </c>
      <c r="AB15" s="9">
        <v>68.98</v>
      </c>
      <c r="AC15" s="10">
        <v>78.33</v>
      </c>
      <c r="AD15" s="9">
        <v>10.11</v>
      </c>
      <c r="AE15" s="10">
        <v>15.84</v>
      </c>
      <c r="AF15" s="9" t="s">
        <v>99</v>
      </c>
      <c r="AG15" s="10" t="s">
        <v>18</v>
      </c>
      <c r="AH15" s="9">
        <v>1</v>
      </c>
      <c r="AI15" s="9">
        <v>2</v>
      </c>
      <c r="AJ15" s="24">
        <v>1</v>
      </c>
    </row>
    <row r="16" spans="1:36" ht="17.25" thickBot="1" x14ac:dyDescent="0.3">
      <c r="A16" s="23" t="s">
        <v>191</v>
      </c>
      <c r="B16" s="11" t="s">
        <v>83</v>
      </c>
      <c r="C16" s="12">
        <v>220</v>
      </c>
      <c r="D16" s="12">
        <v>110</v>
      </c>
      <c r="E16" s="12">
        <v>5.9</v>
      </c>
      <c r="F16" s="12">
        <v>9.1999999999999993</v>
      </c>
      <c r="G16" s="13">
        <v>12</v>
      </c>
      <c r="H16" s="12">
        <v>26.2</v>
      </c>
      <c r="I16" s="12">
        <v>0.84799999999999998</v>
      </c>
      <c r="J16" s="12">
        <v>3337</v>
      </c>
      <c r="K16" s="12">
        <v>1588</v>
      </c>
      <c r="L16" s="13">
        <v>2024</v>
      </c>
      <c r="M16" s="12">
        <v>27.72</v>
      </c>
      <c r="N16" s="12">
        <v>91.1</v>
      </c>
      <c r="O16" s="12">
        <v>252</v>
      </c>
      <c r="P16" s="13">
        <v>285.39999999999998</v>
      </c>
      <c r="Q16" s="12">
        <v>2.0489999999999999</v>
      </c>
      <c r="R16" s="12">
        <v>24.8</v>
      </c>
      <c r="S16" s="12">
        <v>37.25</v>
      </c>
      <c r="T16" s="13">
        <v>58.11</v>
      </c>
      <c r="U16" s="12">
        <v>89.82</v>
      </c>
      <c r="V16" s="12">
        <v>15.22</v>
      </c>
      <c r="W16" s="12">
        <v>22310</v>
      </c>
      <c r="X16" s="13">
        <v>3874</v>
      </c>
      <c r="Y16" s="12">
        <v>1184.6500000000001</v>
      </c>
      <c r="Z16" s="12">
        <v>325.5</v>
      </c>
      <c r="AA16" s="13">
        <v>414.84</v>
      </c>
      <c r="AB16" s="12">
        <v>89.45</v>
      </c>
      <c r="AC16" s="13">
        <v>101.32</v>
      </c>
      <c r="AD16" s="12">
        <v>13.22</v>
      </c>
      <c r="AE16" s="13">
        <v>20.63</v>
      </c>
      <c r="AF16" s="12" t="s">
        <v>99</v>
      </c>
      <c r="AG16" s="13" t="s">
        <v>18</v>
      </c>
      <c r="AH16" s="12">
        <v>1</v>
      </c>
      <c r="AI16" s="12">
        <v>2</v>
      </c>
      <c r="AJ16" s="25">
        <v>1</v>
      </c>
    </row>
    <row r="17" spans="1:36" ht="17.25" thickBot="1" x14ac:dyDescent="0.3">
      <c r="A17" s="22" t="s">
        <v>192</v>
      </c>
      <c r="B17" s="8" t="s">
        <v>83</v>
      </c>
      <c r="C17" s="9">
        <v>240</v>
      </c>
      <c r="D17" s="9">
        <v>120</v>
      </c>
      <c r="E17" s="9">
        <v>6.2</v>
      </c>
      <c r="F17" s="9">
        <v>9.8000000000000007</v>
      </c>
      <c r="G17" s="10">
        <v>15</v>
      </c>
      <c r="H17" s="9">
        <v>30.7</v>
      </c>
      <c r="I17" s="9">
        <v>0.92200000000000004</v>
      </c>
      <c r="J17" s="9">
        <v>3912</v>
      </c>
      <c r="K17" s="9">
        <v>1914</v>
      </c>
      <c r="L17" s="10">
        <v>2352</v>
      </c>
      <c r="M17" s="9">
        <v>38.92</v>
      </c>
      <c r="N17" s="9">
        <v>99.7</v>
      </c>
      <c r="O17" s="9">
        <v>324.3</v>
      </c>
      <c r="P17" s="10">
        <v>366.6</v>
      </c>
      <c r="Q17" s="9">
        <v>2.8359999999999999</v>
      </c>
      <c r="R17" s="9">
        <v>26.9</v>
      </c>
      <c r="S17" s="9">
        <v>47.27</v>
      </c>
      <c r="T17" s="10">
        <v>73.92</v>
      </c>
      <c r="U17" s="9">
        <v>127.4</v>
      </c>
      <c r="V17" s="9">
        <v>20.55</v>
      </c>
      <c r="W17" s="9">
        <v>36680</v>
      </c>
      <c r="X17" s="10">
        <v>5354</v>
      </c>
      <c r="Y17" s="9">
        <v>1388.63</v>
      </c>
      <c r="Z17" s="9">
        <v>392.37</v>
      </c>
      <c r="AA17" s="10">
        <v>482.06</v>
      </c>
      <c r="AB17" s="9">
        <v>115.13</v>
      </c>
      <c r="AC17" s="10">
        <v>130.16</v>
      </c>
      <c r="AD17" s="9">
        <v>16.78</v>
      </c>
      <c r="AE17" s="10">
        <v>26.24</v>
      </c>
      <c r="AF17" s="9" t="s">
        <v>99</v>
      </c>
      <c r="AG17" s="10" t="s">
        <v>18</v>
      </c>
      <c r="AH17" s="9">
        <v>1</v>
      </c>
      <c r="AI17" s="9">
        <v>2</v>
      </c>
      <c r="AJ17" s="24">
        <v>1</v>
      </c>
    </row>
    <row r="18" spans="1:36" ht="17.25" thickBot="1" x14ac:dyDescent="0.3">
      <c r="A18" s="23" t="s">
        <v>193</v>
      </c>
      <c r="B18" s="11" t="s">
        <v>83</v>
      </c>
      <c r="C18" s="12">
        <v>270</v>
      </c>
      <c r="D18" s="12">
        <v>135</v>
      </c>
      <c r="E18" s="12">
        <v>6.6</v>
      </c>
      <c r="F18" s="12">
        <v>10.199999999999999</v>
      </c>
      <c r="G18" s="13">
        <v>15</v>
      </c>
      <c r="H18" s="12">
        <v>36.1</v>
      </c>
      <c r="I18" s="12">
        <v>1.0409999999999999</v>
      </c>
      <c r="J18" s="12">
        <v>4595</v>
      </c>
      <c r="K18" s="12">
        <v>2214</v>
      </c>
      <c r="L18" s="13">
        <v>2754</v>
      </c>
      <c r="M18" s="12">
        <v>57.9</v>
      </c>
      <c r="N18" s="12">
        <v>112.3</v>
      </c>
      <c r="O18" s="12">
        <v>428.9</v>
      </c>
      <c r="P18" s="13">
        <v>484</v>
      </c>
      <c r="Q18" s="12">
        <v>4.1989999999999998</v>
      </c>
      <c r="R18" s="12">
        <v>30.2</v>
      </c>
      <c r="S18" s="12">
        <v>62.2</v>
      </c>
      <c r="T18" s="13">
        <v>96.95</v>
      </c>
      <c r="U18" s="12">
        <v>157.1</v>
      </c>
      <c r="V18" s="12">
        <v>23.8</v>
      </c>
      <c r="W18" s="12">
        <v>69469</v>
      </c>
      <c r="X18" s="13">
        <v>7974</v>
      </c>
      <c r="Y18" s="12">
        <v>1631.05</v>
      </c>
      <c r="Z18" s="12">
        <v>453.74</v>
      </c>
      <c r="AA18" s="13">
        <v>564.46</v>
      </c>
      <c r="AB18" s="12">
        <v>152.25</v>
      </c>
      <c r="AC18" s="13">
        <v>171.82</v>
      </c>
      <c r="AD18" s="12">
        <v>22.08</v>
      </c>
      <c r="AE18" s="13">
        <v>34.42</v>
      </c>
      <c r="AF18" s="12" t="s">
        <v>99</v>
      </c>
      <c r="AG18" s="13" t="s">
        <v>18</v>
      </c>
      <c r="AH18" s="12">
        <v>1</v>
      </c>
      <c r="AI18" s="12">
        <v>3</v>
      </c>
      <c r="AJ18" s="25">
        <v>1</v>
      </c>
    </row>
    <row r="19" spans="1:36" ht="17.25" thickBot="1" x14ac:dyDescent="0.3">
      <c r="A19" s="22" t="s">
        <v>194</v>
      </c>
      <c r="B19" s="8" t="s">
        <v>83</v>
      </c>
      <c r="C19" s="9">
        <v>300</v>
      </c>
      <c r="D19" s="9">
        <v>150</v>
      </c>
      <c r="E19" s="9">
        <v>7.1</v>
      </c>
      <c r="F19" s="9">
        <v>10.7</v>
      </c>
      <c r="G19" s="10">
        <v>15</v>
      </c>
      <c r="H19" s="9">
        <v>42.2</v>
      </c>
      <c r="I19" s="9">
        <v>1.1599999999999999</v>
      </c>
      <c r="J19" s="9">
        <v>5381</v>
      </c>
      <c r="K19" s="9">
        <v>2568</v>
      </c>
      <c r="L19" s="10">
        <v>3210</v>
      </c>
      <c r="M19" s="9">
        <v>83.56</v>
      </c>
      <c r="N19" s="9">
        <v>124.6</v>
      </c>
      <c r="O19" s="9">
        <v>557.1</v>
      </c>
      <c r="P19" s="10">
        <v>628.4</v>
      </c>
      <c r="Q19" s="9">
        <v>6.0380000000000003</v>
      </c>
      <c r="R19" s="9">
        <v>33.5</v>
      </c>
      <c r="S19" s="9">
        <v>80.5</v>
      </c>
      <c r="T19" s="10">
        <v>125.2</v>
      </c>
      <c r="U19" s="9">
        <v>197.5</v>
      </c>
      <c r="V19" s="9">
        <v>27.82</v>
      </c>
      <c r="W19" s="9">
        <v>124260</v>
      </c>
      <c r="X19" s="10">
        <v>11520</v>
      </c>
      <c r="Y19" s="9">
        <v>1910.33</v>
      </c>
      <c r="Z19" s="9">
        <v>526.37</v>
      </c>
      <c r="AA19" s="10">
        <v>657.92</v>
      </c>
      <c r="AB19" s="9">
        <v>197.76</v>
      </c>
      <c r="AC19" s="10">
        <v>223.07</v>
      </c>
      <c r="AD19" s="9">
        <v>28.58</v>
      </c>
      <c r="AE19" s="10">
        <v>44.45</v>
      </c>
      <c r="AF19" s="9" t="s">
        <v>99</v>
      </c>
      <c r="AG19" s="10" t="s">
        <v>18</v>
      </c>
      <c r="AH19" s="9">
        <v>1</v>
      </c>
      <c r="AI19" s="9">
        <v>4</v>
      </c>
      <c r="AJ19" s="24">
        <v>1</v>
      </c>
    </row>
    <row r="20" spans="1:36" ht="17.25" thickBot="1" x14ac:dyDescent="0.3">
      <c r="A20" s="23" t="s">
        <v>195</v>
      </c>
      <c r="B20" s="11" t="s">
        <v>83</v>
      </c>
      <c r="C20" s="12">
        <v>330</v>
      </c>
      <c r="D20" s="12">
        <v>160</v>
      </c>
      <c r="E20" s="12">
        <v>7.5</v>
      </c>
      <c r="F20" s="12">
        <v>11.5</v>
      </c>
      <c r="G20" s="13">
        <v>18</v>
      </c>
      <c r="H20" s="12">
        <v>49.1</v>
      </c>
      <c r="I20" s="12">
        <v>1.254</v>
      </c>
      <c r="J20" s="12">
        <v>6261</v>
      </c>
      <c r="K20" s="12">
        <v>3081</v>
      </c>
      <c r="L20" s="13">
        <v>3680</v>
      </c>
      <c r="M20" s="12">
        <v>117.7</v>
      </c>
      <c r="N20" s="12">
        <v>137.1</v>
      </c>
      <c r="O20" s="12">
        <v>713.1</v>
      </c>
      <c r="P20" s="13">
        <v>804.3</v>
      </c>
      <c r="Q20" s="12">
        <v>7.8810000000000002</v>
      </c>
      <c r="R20" s="12">
        <v>35.5</v>
      </c>
      <c r="S20" s="12">
        <v>98.52</v>
      </c>
      <c r="T20" s="13">
        <v>153.69999999999999</v>
      </c>
      <c r="U20" s="12">
        <v>275.89999999999998</v>
      </c>
      <c r="V20" s="12">
        <v>36.79</v>
      </c>
      <c r="W20" s="12">
        <v>196090</v>
      </c>
      <c r="X20" s="13">
        <v>15490</v>
      </c>
      <c r="Y20" s="12">
        <v>2222.52</v>
      </c>
      <c r="Z20" s="12">
        <v>631.45000000000005</v>
      </c>
      <c r="AA20" s="13">
        <v>754.25</v>
      </c>
      <c r="AB20" s="12">
        <v>253.17</v>
      </c>
      <c r="AC20" s="13">
        <v>285.54000000000002</v>
      </c>
      <c r="AD20" s="12">
        <v>34.97</v>
      </c>
      <c r="AE20" s="13">
        <v>54.56</v>
      </c>
      <c r="AF20" s="12" t="s">
        <v>99</v>
      </c>
      <c r="AG20" s="13" t="s">
        <v>18</v>
      </c>
      <c r="AH20" s="12">
        <v>1</v>
      </c>
      <c r="AI20" s="12">
        <v>4</v>
      </c>
      <c r="AJ20" s="25">
        <v>1</v>
      </c>
    </row>
    <row r="21" spans="1:36" ht="17.25" thickBot="1" x14ac:dyDescent="0.3">
      <c r="A21" s="22" t="s">
        <v>196</v>
      </c>
      <c r="B21" s="8" t="s">
        <v>83</v>
      </c>
      <c r="C21" s="9">
        <v>360</v>
      </c>
      <c r="D21" s="9">
        <v>170</v>
      </c>
      <c r="E21" s="9">
        <v>8</v>
      </c>
      <c r="F21" s="9">
        <v>12.7</v>
      </c>
      <c r="G21" s="10">
        <v>18</v>
      </c>
      <c r="H21" s="9">
        <v>57.1</v>
      </c>
      <c r="I21" s="9">
        <v>1.353</v>
      </c>
      <c r="J21" s="9">
        <v>7273</v>
      </c>
      <c r="K21" s="9">
        <v>3514</v>
      </c>
      <c r="L21" s="10">
        <v>4318</v>
      </c>
      <c r="M21" s="9">
        <v>162.69999999999999</v>
      </c>
      <c r="N21" s="9">
        <v>149.5</v>
      </c>
      <c r="O21" s="9">
        <v>903.6</v>
      </c>
      <c r="P21" s="10">
        <v>1019</v>
      </c>
      <c r="Q21" s="9">
        <v>10.43</v>
      </c>
      <c r="R21" s="9">
        <v>37.9</v>
      </c>
      <c r="S21" s="9">
        <v>122.8</v>
      </c>
      <c r="T21" s="10">
        <v>191.1</v>
      </c>
      <c r="U21" s="9">
        <v>370.8</v>
      </c>
      <c r="V21" s="9">
        <v>46.35</v>
      </c>
      <c r="W21" s="9">
        <v>309370</v>
      </c>
      <c r="X21" s="10">
        <v>21070</v>
      </c>
      <c r="Y21" s="9">
        <v>2581.89</v>
      </c>
      <c r="Z21" s="9">
        <v>720.17</v>
      </c>
      <c r="AA21" s="10">
        <v>885.01</v>
      </c>
      <c r="AB21" s="9">
        <v>320.79000000000002</v>
      </c>
      <c r="AC21" s="10">
        <v>361.8</v>
      </c>
      <c r="AD21" s="9">
        <v>43.58</v>
      </c>
      <c r="AE21" s="10">
        <v>67.84</v>
      </c>
      <c r="AF21" s="9" t="s">
        <v>99</v>
      </c>
      <c r="AG21" s="10" t="s">
        <v>18</v>
      </c>
      <c r="AH21" s="9">
        <v>1</v>
      </c>
      <c r="AI21" s="9">
        <v>4</v>
      </c>
      <c r="AJ21" s="24">
        <v>1</v>
      </c>
    </row>
    <row r="22" spans="1:36" ht="17.25" thickBot="1" x14ac:dyDescent="0.3">
      <c r="A22" s="23" t="s">
        <v>197</v>
      </c>
      <c r="B22" s="11" t="s">
        <v>83</v>
      </c>
      <c r="C22" s="12">
        <v>400</v>
      </c>
      <c r="D22" s="12">
        <v>180</v>
      </c>
      <c r="E22" s="12">
        <v>8.6</v>
      </c>
      <c r="F22" s="12">
        <v>13.5</v>
      </c>
      <c r="G22" s="13">
        <v>21</v>
      </c>
      <c r="H22" s="12">
        <v>66.3</v>
      </c>
      <c r="I22" s="12">
        <v>1.4670000000000001</v>
      </c>
      <c r="J22" s="12">
        <v>8446</v>
      </c>
      <c r="K22" s="12">
        <v>4269</v>
      </c>
      <c r="L22" s="13">
        <v>4860</v>
      </c>
      <c r="M22" s="12">
        <v>231.3</v>
      </c>
      <c r="N22" s="12">
        <v>165.5</v>
      </c>
      <c r="O22" s="12">
        <v>1156</v>
      </c>
      <c r="P22" s="13">
        <v>1307</v>
      </c>
      <c r="Q22" s="12">
        <v>13.18</v>
      </c>
      <c r="R22" s="12">
        <v>39.5</v>
      </c>
      <c r="S22" s="12">
        <v>146.4</v>
      </c>
      <c r="T22" s="13">
        <v>229</v>
      </c>
      <c r="U22" s="12">
        <v>504.1</v>
      </c>
      <c r="V22" s="12">
        <v>58.62</v>
      </c>
      <c r="W22" s="12">
        <v>482890</v>
      </c>
      <c r="X22" s="13">
        <v>27930</v>
      </c>
      <c r="Y22" s="12">
        <v>2998.46</v>
      </c>
      <c r="Z22" s="12">
        <v>875.07</v>
      </c>
      <c r="AA22" s="13">
        <v>996.1</v>
      </c>
      <c r="AB22" s="12">
        <v>410.53</v>
      </c>
      <c r="AC22" s="13">
        <v>464.04</v>
      </c>
      <c r="AD22" s="12">
        <v>51.98</v>
      </c>
      <c r="AE22" s="13">
        <v>81.3</v>
      </c>
      <c r="AF22" s="12" t="s">
        <v>99</v>
      </c>
      <c r="AG22" s="13" t="s">
        <v>18</v>
      </c>
      <c r="AH22" s="12">
        <v>1</v>
      </c>
      <c r="AI22" s="12">
        <v>4</v>
      </c>
      <c r="AJ22" s="25">
        <v>1</v>
      </c>
    </row>
    <row r="23" spans="1:36" ht="17.25" thickBot="1" x14ac:dyDescent="0.3">
      <c r="A23" s="22" t="s">
        <v>198</v>
      </c>
      <c r="B23" s="8" t="s">
        <v>83</v>
      </c>
      <c r="C23" s="9">
        <v>450</v>
      </c>
      <c r="D23" s="9">
        <v>190</v>
      </c>
      <c r="E23" s="9">
        <v>9.4</v>
      </c>
      <c r="F23" s="9">
        <v>14.6</v>
      </c>
      <c r="G23" s="10">
        <v>21</v>
      </c>
      <c r="H23" s="9">
        <v>77.599999999999994</v>
      </c>
      <c r="I23" s="9">
        <v>1.605</v>
      </c>
      <c r="J23" s="9">
        <v>9882</v>
      </c>
      <c r="K23" s="9">
        <v>5085</v>
      </c>
      <c r="L23" s="10">
        <v>5548</v>
      </c>
      <c r="M23" s="9">
        <v>337.4</v>
      </c>
      <c r="N23" s="9">
        <v>184.8</v>
      </c>
      <c r="O23" s="9">
        <v>1500</v>
      </c>
      <c r="P23" s="10">
        <v>1702</v>
      </c>
      <c r="Q23" s="9">
        <v>16.760000000000002</v>
      </c>
      <c r="R23" s="9">
        <v>41.2</v>
      </c>
      <c r="S23" s="9">
        <v>176.4</v>
      </c>
      <c r="T23" s="10">
        <v>276.39999999999998</v>
      </c>
      <c r="U23" s="9">
        <v>660.5</v>
      </c>
      <c r="V23" s="9">
        <v>70.27</v>
      </c>
      <c r="W23" s="9">
        <v>780970</v>
      </c>
      <c r="X23" s="10">
        <v>37970</v>
      </c>
      <c r="Y23" s="9">
        <v>3508.14</v>
      </c>
      <c r="Z23" s="9">
        <v>1042.1199999999999</v>
      </c>
      <c r="AA23" s="10">
        <v>1137.1099999999999</v>
      </c>
      <c r="AB23" s="9">
        <v>532.39</v>
      </c>
      <c r="AC23" s="10">
        <v>604.14</v>
      </c>
      <c r="AD23" s="9">
        <v>62.62</v>
      </c>
      <c r="AE23" s="10">
        <v>98.12</v>
      </c>
      <c r="AF23" s="9" t="s">
        <v>99</v>
      </c>
      <c r="AG23" s="10" t="s">
        <v>18</v>
      </c>
      <c r="AH23" s="9">
        <v>1</v>
      </c>
      <c r="AI23" s="9">
        <v>4</v>
      </c>
      <c r="AJ23" s="24">
        <v>1</v>
      </c>
    </row>
    <row r="24" spans="1:36" ht="17.25" thickBot="1" x14ac:dyDescent="0.3">
      <c r="A24" s="23" t="s">
        <v>199</v>
      </c>
      <c r="B24" s="11" t="s">
        <v>83</v>
      </c>
      <c r="C24" s="12">
        <v>500</v>
      </c>
      <c r="D24" s="12">
        <v>200</v>
      </c>
      <c r="E24" s="12">
        <v>10.199999999999999</v>
      </c>
      <c r="F24" s="12">
        <v>16</v>
      </c>
      <c r="G24" s="13">
        <v>21</v>
      </c>
      <c r="H24" s="12">
        <v>90.7</v>
      </c>
      <c r="I24" s="12">
        <v>1.744</v>
      </c>
      <c r="J24" s="12">
        <v>11552</v>
      </c>
      <c r="K24" s="12">
        <v>5987</v>
      </c>
      <c r="L24" s="13">
        <v>6400</v>
      </c>
      <c r="M24" s="12">
        <v>482</v>
      </c>
      <c r="N24" s="12">
        <v>204.3</v>
      </c>
      <c r="O24" s="12">
        <v>1928</v>
      </c>
      <c r="P24" s="13">
        <v>2194</v>
      </c>
      <c r="Q24" s="12">
        <v>21.42</v>
      </c>
      <c r="R24" s="12">
        <v>43.1</v>
      </c>
      <c r="S24" s="12">
        <v>214.2</v>
      </c>
      <c r="T24" s="13">
        <v>335.9</v>
      </c>
      <c r="U24" s="12">
        <v>886.2</v>
      </c>
      <c r="V24" s="12">
        <v>86.88</v>
      </c>
      <c r="W24" s="12">
        <v>1235400</v>
      </c>
      <c r="X24" s="13">
        <v>51280</v>
      </c>
      <c r="Y24" s="12">
        <v>4101.0200000000004</v>
      </c>
      <c r="Z24" s="12">
        <v>1227.1600000000001</v>
      </c>
      <c r="AA24" s="13">
        <v>1311.74</v>
      </c>
      <c r="AB24" s="12">
        <v>684.42</v>
      </c>
      <c r="AC24" s="13">
        <v>778.91</v>
      </c>
      <c r="AD24" s="12">
        <v>76.03</v>
      </c>
      <c r="AE24" s="13">
        <v>119.24</v>
      </c>
      <c r="AF24" s="12" t="s">
        <v>99</v>
      </c>
      <c r="AG24" s="13" t="s">
        <v>18</v>
      </c>
      <c r="AH24" s="12">
        <v>1</v>
      </c>
      <c r="AI24" s="12">
        <v>4</v>
      </c>
      <c r="AJ24" s="25">
        <v>1</v>
      </c>
    </row>
    <row r="25" spans="1:36" ht="17.25" thickBot="1" x14ac:dyDescent="0.3">
      <c r="A25" s="22" t="s">
        <v>200</v>
      </c>
      <c r="B25" s="8" t="s">
        <v>83</v>
      </c>
      <c r="C25" s="9">
        <v>550</v>
      </c>
      <c r="D25" s="9">
        <v>210</v>
      </c>
      <c r="E25" s="9">
        <v>11.1</v>
      </c>
      <c r="F25" s="9">
        <v>17.2</v>
      </c>
      <c r="G25" s="10">
        <v>24</v>
      </c>
      <c r="H25" s="9">
        <v>105.5</v>
      </c>
      <c r="I25" s="9">
        <v>1.877</v>
      </c>
      <c r="J25" s="9">
        <v>13442</v>
      </c>
      <c r="K25" s="9">
        <v>7234</v>
      </c>
      <c r="L25" s="10">
        <v>7224</v>
      </c>
      <c r="M25" s="9">
        <v>671.2</v>
      </c>
      <c r="N25" s="9">
        <v>223.5</v>
      </c>
      <c r="O25" s="9">
        <v>2441</v>
      </c>
      <c r="P25" s="10">
        <v>2787</v>
      </c>
      <c r="Q25" s="9">
        <v>26.68</v>
      </c>
      <c r="R25" s="9">
        <v>44.5</v>
      </c>
      <c r="S25" s="9">
        <v>254.1</v>
      </c>
      <c r="T25" s="10">
        <v>400.5</v>
      </c>
      <c r="U25" s="9">
        <v>1217</v>
      </c>
      <c r="V25" s="9">
        <v>109.6</v>
      </c>
      <c r="W25" s="9">
        <v>1861500</v>
      </c>
      <c r="X25" s="10">
        <v>66890</v>
      </c>
      <c r="Y25" s="9">
        <v>4771.7700000000004</v>
      </c>
      <c r="Z25" s="9">
        <v>1482.7</v>
      </c>
      <c r="AA25" s="10">
        <v>1480.63</v>
      </c>
      <c r="AB25" s="9">
        <v>866.41</v>
      </c>
      <c r="AC25" s="10">
        <v>989.39</v>
      </c>
      <c r="AD25" s="9">
        <v>90.19</v>
      </c>
      <c r="AE25" s="10">
        <v>142.19</v>
      </c>
      <c r="AF25" s="9" t="s">
        <v>99</v>
      </c>
      <c r="AG25" s="10" t="s">
        <v>18</v>
      </c>
      <c r="AH25" s="9">
        <v>1</v>
      </c>
      <c r="AI25" s="9">
        <v>4</v>
      </c>
      <c r="AJ25" s="24">
        <v>1</v>
      </c>
    </row>
    <row r="26" spans="1:36" ht="16.5" x14ac:dyDescent="0.25">
      <c r="A26" s="26" t="s">
        <v>201</v>
      </c>
      <c r="B26" s="27" t="s">
        <v>83</v>
      </c>
      <c r="C26" s="28">
        <v>600</v>
      </c>
      <c r="D26" s="28">
        <v>220</v>
      </c>
      <c r="E26" s="28">
        <v>12</v>
      </c>
      <c r="F26" s="28">
        <v>19</v>
      </c>
      <c r="G26" s="29">
        <v>24</v>
      </c>
      <c r="H26" s="28">
        <v>122.4</v>
      </c>
      <c r="I26" s="28">
        <v>2.0150000000000001</v>
      </c>
      <c r="J26" s="28">
        <v>15598</v>
      </c>
      <c r="K26" s="28">
        <v>8378</v>
      </c>
      <c r="L26" s="29">
        <v>8360</v>
      </c>
      <c r="M26" s="28">
        <v>920.8</v>
      </c>
      <c r="N26" s="28">
        <v>243</v>
      </c>
      <c r="O26" s="28">
        <v>3069</v>
      </c>
      <c r="P26" s="29">
        <v>3512</v>
      </c>
      <c r="Q26" s="28">
        <v>33.869999999999997</v>
      </c>
      <c r="R26" s="28">
        <v>46.6</v>
      </c>
      <c r="S26" s="28">
        <v>307.89999999999998</v>
      </c>
      <c r="T26" s="29">
        <v>485.6</v>
      </c>
      <c r="U26" s="28">
        <v>1646</v>
      </c>
      <c r="V26" s="28">
        <v>137.19999999999999</v>
      </c>
      <c r="W26" s="28">
        <v>2814700</v>
      </c>
      <c r="X26" s="29">
        <v>88510</v>
      </c>
      <c r="Y26" s="28">
        <v>5537.45</v>
      </c>
      <c r="Z26" s="28">
        <v>1717.24</v>
      </c>
      <c r="AA26" s="29">
        <v>1713.46</v>
      </c>
      <c r="AB26" s="28">
        <v>1089.6500000000001</v>
      </c>
      <c r="AC26" s="29">
        <v>1246.9000000000001</v>
      </c>
      <c r="AD26" s="28">
        <v>109.32</v>
      </c>
      <c r="AE26" s="29">
        <v>172.41</v>
      </c>
      <c r="AF26" s="28" t="s">
        <v>99</v>
      </c>
      <c r="AG26" s="29" t="s">
        <v>18</v>
      </c>
      <c r="AH26" s="28">
        <v>1</v>
      </c>
      <c r="AI26" s="28">
        <v>4</v>
      </c>
      <c r="AJ26" s="30">
        <v>1</v>
      </c>
    </row>
  </sheetData>
  <mergeCells count="17">
    <mergeCell ref="Y3:AA3"/>
    <mergeCell ref="C3:G3"/>
    <mergeCell ref="H3:L3"/>
    <mergeCell ref="M3:P3"/>
    <mergeCell ref="Q3:T3"/>
    <mergeCell ref="U3:X3"/>
    <mergeCell ref="A4:A7"/>
    <mergeCell ref="B4:B7"/>
    <mergeCell ref="AF4:AF7"/>
    <mergeCell ref="AG4:AG7"/>
    <mergeCell ref="AH4:AH7"/>
    <mergeCell ref="AJ4:AJ7"/>
    <mergeCell ref="AB3:AC3"/>
    <mergeCell ref="AD3:AE3"/>
    <mergeCell ref="AF3:AG3"/>
    <mergeCell ref="AH3:AJ3"/>
    <mergeCell ref="AI4:AI7"/>
  </mergeCells>
  <hyperlinks>
    <hyperlink ref="B9" r:id="rId1" display="https://eurocodeapplied.com/download/en1993/flanged-profile-dxf/IPE80" xr:uid="{7D2C1C3D-4F06-4126-8626-DEA08D3BF71C}"/>
    <hyperlink ref="B10" r:id="rId2" display="https://eurocodeapplied.com/download/en1993/flanged-profile-dxf/IPE100" xr:uid="{2D0A6D4C-7DC6-4ABF-A9CB-5DC13504ACE6}"/>
    <hyperlink ref="B11" r:id="rId3" display="https://eurocodeapplied.com/download/en1993/flanged-profile-dxf/IPE120" xr:uid="{BB8822E7-0D2B-4D0A-8362-8507172BFDD8}"/>
    <hyperlink ref="B12" r:id="rId4" display="https://eurocodeapplied.com/download/en1993/flanged-profile-dxf/IPE140" xr:uid="{6263D6C8-7516-49DC-AFAD-A52671376904}"/>
    <hyperlink ref="B13" r:id="rId5" display="https://eurocodeapplied.com/download/en1993/flanged-profile-dxf/IPE160" xr:uid="{F45CDE67-AE8D-460C-ADB5-3D1A2E4A5AF9}"/>
    <hyperlink ref="B14" r:id="rId6" display="https://eurocodeapplied.com/download/en1993/flanged-profile-dxf/IPE180" xr:uid="{C8EF603E-2996-40B6-9187-D93A2E0246E6}"/>
    <hyperlink ref="B15" r:id="rId7" display="https://eurocodeapplied.com/download/en1993/flanged-profile-dxf/IPE200" xr:uid="{27B6EC61-490C-487B-806F-18C71C542FC5}"/>
    <hyperlink ref="B16" r:id="rId8" display="https://eurocodeapplied.com/download/en1993/flanged-profile-dxf/IPE220" xr:uid="{B6E3D275-85E5-44F7-B2CB-35196DAABE84}"/>
    <hyperlink ref="B17" r:id="rId9" display="https://eurocodeapplied.com/download/en1993/flanged-profile-dxf/IPE240" xr:uid="{67E7748A-BDA4-458D-AEC2-0307D978E29B}"/>
    <hyperlink ref="B18" r:id="rId10" display="https://eurocodeapplied.com/download/en1993/flanged-profile-dxf/IPE270" xr:uid="{6023D06F-0B80-478A-953C-11C6A0330C8F}"/>
    <hyperlink ref="B19" r:id="rId11" display="https://eurocodeapplied.com/download/en1993/flanged-profile-dxf/IPE300" xr:uid="{34F06AF1-49F4-4AC2-9320-0677DE1328D7}"/>
    <hyperlink ref="B20" r:id="rId12" display="https://eurocodeapplied.com/download/en1993/flanged-profile-dxf/IPE330" xr:uid="{30499320-DFE6-411D-96FE-2733572D782A}"/>
    <hyperlink ref="B21" r:id="rId13" display="https://eurocodeapplied.com/download/en1993/flanged-profile-dxf/IPE360" xr:uid="{E52AA146-603E-4E8D-A355-6696C333F098}"/>
    <hyperlink ref="B22" r:id="rId14" display="https://eurocodeapplied.com/download/en1993/flanged-profile-dxf/IPE400" xr:uid="{E104EB16-71CA-458D-A51F-120D0681A012}"/>
    <hyperlink ref="B23" r:id="rId15" display="https://eurocodeapplied.com/download/en1993/flanged-profile-dxf/IPE450" xr:uid="{9DCD7326-E1D4-47C3-A7E0-1C69BD4FD38E}"/>
    <hyperlink ref="B24" r:id="rId16" display="https://eurocodeapplied.com/download/en1993/flanged-profile-dxf/IPE500" xr:uid="{A39116DB-7030-4839-9564-CEB856468356}"/>
    <hyperlink ref="B25" r:id="rId17" display="https://eurocodeapplied.com/download/en1993/flanged-profile-dxf/IPE550" xr:uid="{E5CA6A3E-5215-479C-8E63-DECE1A04B01B}"/>
    <hyperlink ref="B26" r:id="rId18" display="https://eurocodeapplied.com/download/en1993/flanged-profile-dxf/IPE600" xr:uid="{DB451B42-BAA2-41CC-8518-3821702C2BE5}"/>
  </hyperlinks>
  <pageMargins left="0.7" right="0.7" top="0.75" bottom="0.75" header="0.3" footer="0.3"/>
  <pageSetup paperSize="9" orientation="portrait" r:id="rId19"/>
  <tableParts count="1">
    <tablePart r:id="rId2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F697-7176-4F64-9A55-19453D0ED6D8}">
  <sheetPr codeName="Sheet4"/>
  <dimension ref="A1:AJ32"/>
  <sheetViews>
    <sheetView topLeftCell="A5" zoomScale="85" zoomScaleNormal="85" workbookViewId="0">
      <selection activeCell="H9" sqref="H9:H32"/>
    </sheetView>
  </sheetViews>
  <sheetFormatPr defaultRowHeight="15" x14ac:dyDescent="0.25"/>
  <cols>
    <col min="1" max="1" width="9.85546875" customWidth="1"/>
    <col min="2" max="2" width="12.28515625" customWidth="1"/>
    <col min="28" max="31" width="9.5703125" customWidth="1"/>
    <col min="32" max="36" width="12.28515625" customWidth="1"/>
  </cols>
  <sheetData>
    <row r="1" spans="1:36" x14ac:dyDescent="0.25">
      <c r="A1" t="s">
        <v>0</v>
      </c>
    </row>
    <row r="2" spans="1:36" ht="244.5" thickBot="1" x14ac:dyDescent="0.3">
      <c r="A2" s="1" t="s">
        <v>1</v>
      </c>
    </row>
    <row r="3" spans="1:36" ht="33" customHeight="1" thickBot="1" x14ac:dyDescent="0.3">
      <c r="A3" s="2"/>
      <c r="B3" s="3"/>
      <c r="C3" s="69" t="s">
        <v>2</v>
      </c>
      <c r="D3" s="71"/>
      <c r="E3" s="71"/>
      <c r="F3" s="71"/>
      <c r="G3" s="70"/>
      <c r="H3" s="69" t="s">
        <v>3</v>
      </c>
      <c r="I3" s="71"/>
      <c r="J3" s="71"/>
      <c r="K3" s="71"/>
      <c r="L3" s="70"/>
      <c r="M3" s="69" t="s">
        <v>4</v>
      </c>
      <c r="N3" s="71"/>
      <c r="O3" s="71"/>
      <c r="P3" s="70"/>
      <c r="Q3" s="69" t="s">
        <v>5</v>
      </c>
      <c r="R3" s="71"/>
      <c r="S3" s="71"/>
      <c r="T3" s="70"/>
      <c r="U3" s="69" t="s">
        <v>6</v>
      </c>
      <c r="V3" s="71"/>
      <c r="W3" s="71"/>
      <c r="X3" s="70"/>
      <c r="Y3" s="69" t="s">
        <v>7</v>
      </c>
      <c r="Z3" s="71"/>
      <c r="AA3" s="70"/>
      <c r="AB3" s="69" t="s">
        <v>8</v>
      </c>
      <c r="AC3" s="70"/>
      <c r="AD3" s="69" t="s">
        <v>9</v>
      </c>
      <c r="AE3" s="70"/>
      <c r="AF3" s="69" t="s">
        <v>10</v>
      </c>
      <c r="AG3" s="70"/>
      <c r="AH3" s="69" t="s">
        <v>11</v>
      </c>
      <c r="AI3" s="71"/>
      <c r="AJ3" s="70"/>
    </row>
    <row r="4" spans="1:36" ht="147.75" customHeight="1" x14ac:dyDescent="0.25">
      <c r="A4" s="74" t="s">
        <v>12</v>
      </c>
      <c r="B4" s="74" t="s">
        <v>13</v>
      </c>
      <c r="C4" s="6" t="s">
        <v>14</v>
      </c>
      <c r="D4" s="6" t="s">
        <v>17</v>
      </c>
      <c r="E4" s="6" t="s">
        <v>19</v>
      </c>
      <c r="F4" s="6" t="s">
        <v>21</v>
      </c>
      <c r="G4" s="5" t="s">
        <v>23</v>
      </c>
      <c r="H4" s="6" t="s">
        <v>25</v>
      </c>
      <c r="I4" s="6" t="s">
        <v>28</v>
      </c>
      <c r="J4" s="6" t="s">
        <v>31</v>
      </c>
      <c r="K4" s="6" t="s">
        <v>34</v>
      </c>
      <c r="L4" s="5" t="s">
        <v>37</v>
      </c>
      <c r="M4" s="6" t="s">
        <v>39</v>
      </c>
      <c r="N4" s="6" t="s">
        <v>42</v>
      </c>
      <c r="O4" s="6" t="s">
        <v>44</v>
      </c>
      <c r="P4" s="5" t="s">
        <v>47</v>
      </c>
      <c r="Q4" s="6" t="s">
        <v>39</v>
      </c>
      <c r="R4" s="6" t="s">
        <v>42</v>
      </c>
      <c r="S4" s="6" t="s">
        <v>44</v>
      </c>
      <c r="T4" s="5" t="s">
        <v>47</v>
      </c>
      <c r="U4" s="6" t="s">
        <v>53</v>
      </c>
      <c r="V4" s="6" t="s">
        <v>56</v>
      </c>
      <c r="W4" s="6" t="s">
        <v>58</v>
      </c>
      <c r="X4" s="5" t="s">
        <v>61</v>
      </c>
      <c r="Y4" s="6" t="s">
        <v>63</v>
      </c>
      <c r="Z4" s="6" t="s">
        <v>66</v>
      </c>
      <c r="AA4" s="5" t="s">
        <v>68</v>
      </c>
      <c r="AB4" s="6" t="s">
        <v>70</v>
      </c>
      <c r="AC4" s="5" t="s">
        <v>73</v>
      </c>
      <c r="AD4" s="6" t="s">
        <v>70</v>
      </c>
      <c r="AE4" s="5" t="s">
        <v>73</v>
      </c>
      <c r="AF4" s="76" t="s">
        <v>77</v>
      </c>
      <c r="AG4" s="67" t="s">
        <v>78</v>
      </c>
      <c r="AH4" s="76" t="s">
        <v>79</v>
      </c>
      <c r="AI4" s="72" t="s">
        <v>80</v>
      </c>
      <c r="AJ4" s="67" t="s">
        <v>81</v>
      </c>
    </row>
    <row r="5" spans="1:36" ht="16.5" x14ac:dyDescent="0.25">
      <c r="A5" s="75"/>
      <c r="B5" s="75"/>
      <c r="C5" s="4" t="s">
        <v>15</v>
      </c>
      <c r="D5" s="4" t="s">
        <v>18</v>
      </c>
      <c r="E5" s="4" t="s">
        <v>20</v>
      </c>
      <c r="F5" s="4" t="s">
        <v>22</v>
      </c>
      <c r="G5" s="7" t="s">
        <v>24</v>
      </c>
      <c r="H5" s="4" t="s">
        <v>26</v>
      </c>
      <c r="I5" s="4" t="s">
        <v>29</v>
      </c>
      <c r="J5" s="4" t="s">
        <v>32</v>
      </c>
      <c r="K5" s="4" t="s">
        <v>35</v>
      </c>
      <c r="L5" s="7" t="s">
        <v>38</v>
      </c>
      <c r="M5" s="4" t="s">
        <v>40</v>
      </c>
      <c r="N5" s="4" t="s">
        <v>43</v>
      </c>
      <c r="O5" s="4" t="s">
        <v>45</v>
      </c>
      <c r="P5" s="7" t="s">
        <v>48</v>
      </c>
      <c r="Q5" s="4" t="s">
        <v>49</v>
      </c>
      <c r="R5" s="4" t="s">
        <v>50</v>
      </c>
      <c r="S5" s="4" t="s">
        <v>51</v>
      </c>
      <c r="T5" s="7" t="s">
        <v>52</v>
      </c>
      <c r="U5" s="4" t="s">
        <v>54</v>
      </c>
      <c r="V5" s="4" t="s">
        <v>57</v>
      </c>
      <c r="W5" s="4" t="s">
        <v>59</v>
      </c>
      <c r="X5" s="7" t="s">
        <v>62</v>
      </c>
      <c r="Y5" s="4" t="s">
        <v>64</v>
      </c>
      <c r="Z5" s="4" t="s">
        <v>67</v>
      </c>
      <c r="AA5" s="7" t="s">
        <v>69</v>
      </c>
      <c r="AB5" s="4" t="s">
        <v>71</v>
      </c>
      <c r="AC5" s="7" t="s">
        <v>74</v>
      </c>
      <c r="AD5" s="4" t="s">
        <v>75</v>
      </c>
      <c r="AE5" s="7" t="s">
        <v>76</v>
      </c>
      <c r="AF5" s="77"/>
      <c r="AG5" s="68"/>
      <c r="AH5" s="77"/>
      <c r="AI5" s="73"/>
      <c r="AJ5" s="68"/>
    </row>
    <row r="6" spans="1:36" ht="33" x14ac:dyDescent="0.25">
      <c r="A6" s="75"/>
      <c r="B6" s="75"/>
      <c r="C6" s="4" t="s">
        <v>16</v>
      </c>
      <c r="D6" s="4" t="s">
        <v>16</v>
      </c>
      <c r="E6" s="4" t="s">
        <v>16</v>
      </c>
      <c r="F6" s="4" t="s">
        <v>16</v>
      </c>
      <c r="G6" s="7" t="s">
        <v>16</v>
      </c>
      <c r="H6" s="4" t="s">
        <v>27</v>
      </c>
      <c r="I6" s="4" t="s">
        <v>30</v>
      </c>
      <c r="J6" s="4" t="s">
        <v>33</v>
      </c>
      <c r="K6" s="4" t="s">
        <v>33</v>
      </c>
      <c r="L6" s="7" t="s">
        <v>33</v>
      </c>
      <c r="M6" s="4" t="s">
        <v>41</v>
      </c>
      <c r="N6" s="4" t="s">
        <v>16</v>
      </c>
      <c r="O6" s="4" t="s">
        <v>46</v>
      </c>
      <c r="P6" s="7" t="s">
        <v>46</v>
      </c>
      <c r="Q6" s="4" t="s">
        <v>41</v>
      </c>
      <c r="R6" s="4" t="s">
        <v>16</v>
      </c>
      <c r="S6" s="4" t="s">
        <v>46</v>
      </c>
      <c r="T6" s="7" t="s">
        <v>46</v>
      </c>
      <c r="U6" s="4" t="s">
        <v>55</v>
      </c>
      <c r="V6" s="4" t="s">
        <v>46</v>
      </c>
      <c r="W6" s="4" t="s">
        <v>60</v>
      </c>
      <c r="X6" s="7" t="s">
        <v>55</v>
      </c>
      <c r="Y6" s="4" t="s">
        <v>65</v>
      </c>
      <c r="Z6" s="4" t="s">
        <v>65</v>
      </c>
      <c r="AA6" s="7" t="s">
        <v>65</v>
      </c>
      <c r="AB6" s="4" t="s">
        <v>72</v>
      </c>
      <c r="AC6" s="7" t="s">
        <v>72</v>
      </c>
      <c r="AD6" s="4" t="s">
        <v>72</v>
      </c>
      <c r="AE6" s="7" t="s">
        <v>72</v>
      </c>
      <c r="AF6" s="77"/>
      <c r="AG6" s="68"/>
      <c r="AH6" s="77"/>
      <c r="AI6" s="73"/>
      <c r="AJ6" s="68"/>
    </row>
    <row r="7" spans="1:36" ht="33" x14ac:dyDescent="0.25">
      <c r="A7" s="75"/>
      <c r="B7" s="75"/>
      <c r="C7" s="4"/>
      <c r="D7" s="4"/>
      <c r="E7" s="4"/>
      <c r="F7" s="4"/>
      <c r="G7" s="7"/>
      <c r="H7" s="4"/>
      <c r="I7" s="4"/>
      <c r="J7" s="4"/>
      <c r="K7" s="4" t="s">
        <v>36</v>
      </c>
      <c r="L7" s="7"/>
      <c r="M7" s="4"/>
      <c r="N7" s="4"/>
      <c r="O7" s="4"/>
      <c r="P7" s="7"/>
      <c r="Q7" s="4"/>
      <c r="R7" s="4"/>
      <c r="S7" s="4"/>
      <c r="T7" s="7"/>
      <c r="U7" s="4"/>
      <c r="V7" s="4"/>
      <c r="W7" s="4"/>
      <c r="X7" s="7"/>
      <c r="Y7" s="4"/>
      <c r="Z7" s="4"/>
      <c r="AA7" s="7"/>
      <c r="AB7" s="4"/>
      <c r="AC7" s="7"/>
      <c r="AD7" s="4"/>
      <c r="AE7" s="7"/>
      <c r="AF7" s="77"/>
      <c r="AG7" s="68"/>
      <c r="AH7" s="77"/>
      <c r="AI7" s="73"/>
      <c r="AJ7" s="68"/>
    </row>
    <row r="8" spans="1:36" ht="17.25" thickBot="1" x14ac:dyDescent="0.3">
      <c r="A8" s="7" t="s">
        <v>12</v>
      </c>
      <c r="B8" s="7" t="s">
        <v>172</v>
      </c>
      <c r="C8" s="4" t="s">
        <v>15</v>
      </c>
      <c r="D8" s="4" t="s">
        <v>18</v>
      </c>
      <c r="E8" s="4" t="s">
        <v>109</v>
      </c>
      <c r="F8" s="4" t="s">
        <v>110</v>
      </c>
      <c r="G8" s="7" t="s">
        <v>24</v>
      </c>
      <c r="H8" s="4" t="s">
        <v>26</v>
      </c>
      <c r="I8" s="4" t="s">
        <v>29</v>
      </c>
      <c r="J8" s="4" t="s">
        <v>32</v>
      </c>
      <c r="K8" s="4" t="s">
        <v>111</v>
      </c>
      <c r="L8" s="7" t="s">
        <v>112</v>
      </c>
      <c r="M8" s="4" t="s">
        <v>113</v>
      </c>
      <c r="N8" s="4" t="s">
        <v>173</v>
      </c>
      <c r="O8" s="4" t="s">
        <v>45</v>
      </c>
      <c r="P8" s="7" t="s">
        <v>48</v>
      </c>
      <c r="Q8" s="4" t="s">
        <v>49</v>
      </c>
      <c r="R8" s="4" t="s">
        <v>174</v>
      </c>
      <c r="S8" s="4" t="s">
        <v>51</v>
      </c>
      <c r="T8" s="7" t="s">
        <v>52</v>
      </c>
      <c r="U8" s="4" t="s">
        <v>54</v>
      </c>
      <c r="V8" s="4" t="s">
        <v>57</v>
      </c>
      <c r="W8" s="4" t="s">
        <v>59</v>
      </c>
      <c r="X8" s="7" t="s">
        <v>62</v>
      </c>
      <c r="Y8" s="4" t="s">
        <v>64</v>
      </c>
      <c r="Z8" s="4" t="s">
        <v>67</v>
      </c>
      <c r="AA8" s="7" t="s">
        <v>69</v>
      </c>
      <c r="AB8" s="4" t="s">
        <v>71</v>
      </c>
      <c r="AC8" s="7" t="s">
        <v>74</v>
      </c>
      <c r="AD8" s="4" t="s">
        <v>75</v>
      </c>
      <c r="AE8" s="7" t="s">
        <v>76</v>
      </c>
      <c r="AF8" s="4" t="s">
        <v>175</v>
      </c>
      <c r="AG8" s="7" t="s">
        <v>176</v>
      </c>
      <c r="AH8" s="4" t="s">
        <v>177</v>
      </c>
      <c r="AI8" s="4" t="s">
        <v>178</v>
      </c>
      <c r="AJ8" s="4" t="s">
        <v>179</v>
      </c>
    </row>
    <row r="9" spans="1:36" ht="17.25" thickBot="1" x14ac:dyDescent="0.3">
      <c r="A9" s="22" t="s">
        <v>82</v>
      </c>
      <c r="B9" s="8" t="s">
        <v>83</v>
      </c>
      <c r="C9" s="9">
        <v>96</v>
      </c>
      <c r="D9" s="9">
        <v>100</v>
      </c>
      <c r="E9" s="9">
        <v>5</v>
      </c>
      <c r="F9" s="9">
        <v>8</v>
      </c>
      <c r="G9" s="10">
        <v>12</v>
      </c>
      <c r="H9" s="9">
        <v>16.7</v>
      </c>
      <c r="I9" s="9">
        <v>0.56100000000000005</v>
      </c>
      <c r="J9" s="9">
        <v>2124</v>
      </c>
      <c r="K9" s="9">
        <v>756</v>
      </c>
      <c r="L9" s="10">
        <v>1600</v>
      </c>
      <c r="M9" s="9">
        <v>3.492</v>
      </c>
      <c r="N9" s="9">
        <v>40.6</v>
      </c>
      <c r="O9" s="9">
        <v>72.760000000000005</v>
      </c>
      <c r="P9" s="10">
        <v>83.01</v>
      </c>
      <c r="Q9" s="9">
        <v>1.3380000000000001</v>
      </c>
      <c r="R9" s="9">
        <v>25.1</v>
      </c>
      <c r="S9" s="9">
        <v>26.76</v>
      </c>
      <c r="T9" s="10">
        <v>41.14</v>
      </c>
      <c r="U9" s="9">
        <v>51.99</v>
      </c>
      <c r="V9" s="9">
        <v>10.4</v>
      </c>
      <c r="W9" s="9">
        <v>2475</v>
      </c>
      <c r="X9" s="10">
        <v>1143</v>
      </c>
      <c r="Y9" s="9">
        <v>753.88</v>
      </c>
      <c r="Z9" s="9">
        <v>154.87</v>
      </c>
      <c r="AA9" s="10">
        <v>327.93</v>
      </c>
      <c r="AB9" s="9">
        <v>25.83</v>
      </c>
      <c r="AC9" s="10">
        <v>29.47</v>
      </c>
      <c r="AD9" s="9">
        <v>9.5</v>
      </c>
      <c r="AE9" s="10">
        <v>14.6</v>
      </c>
      <c r="AF9" s="9" t="s">
        <v>18</v>
      </c>
      <c r="AG9" s="10" t="s">
        <v>84</v>
      </c>
      <c r="AH9" s="9">
        <v>1</v>
      </c>
      <c r="AI9" s="9">
        <v>1</v>
      </c>
      <c r="AJ9" s="24">
        <v>1</v>
      </c>
    </row>
    <row r="10" spans="1:36" ht="17.25" thickBot="1" x14ac:dyDescent="0.3">
      <c r="A10" s="23" t="s">
        <v>85</v>
      </c>
      <c r="B10" s="11" t="s">
        <v>83</v>
      </c>
      <c r="C10" s="12">
        <v>114</v>
      </c>
      <c r="D10" s="12">
        <v>120</v>
      </c>
      <c r="E10" s="12">
        <v>5</v>
      </c>
      <c r="F10" s="12">
        <v>8</v>
      </c>
      <c r="G10" s="13">
        <v>12</v>
      </c>
      <c r="H10" s="12">
        <v>19.899999999999999</v>
      </c>
      <c r="I10" s="12">
        <v>0.67700000000000005</v>
      </c>
      <c r="J10" s="12">
        <v>2534</v>
      </c>
      <c r="K10" s="12">
        <v>846</v>
      </c>
      <c r="L10" s="13">
        <v>1920</v>
      </c>
      <c r="M10" s="12">
        <v>6.0620000000000003</v>
      </c>
      <c r="N10" s="12">
        <v>48.9</v>
      </c>
      <c r="O10" s="12">
        <v>106.3</v>
      </c>
      <c r="P10" s="13">
        <v>119.5</v>
      </c>
      <c r="Q10" s="12">
        <v>2.3090000000000002</v>
      </c>
      <c r="R10" s="12">
        <v>30.2</v>
      </c>
      <c r="S10" s="12">
        <v>38.479999999999997</v>
      </c>
      <c r="T10" s="13">
        <v>58.85</v>
      </c>
      <c r="U10" s="12">
        <v>59.57</v>
      </c>
      <c r="V10" s="12">
        <v>11.91</v>
      </c>
      <c r="W10" s="12">
        <v>6285</v>
      </c>
      <c r="X10" s="13">
        <v>1998</v>
      </c>
      <c r="Y10" s="12">
        <v>899.43</v>
      </c>
      <c r="Z10" s="12">
        <v>173.32</v>
      </c>
      <c r="AA10" s="13">
        <v>393.52</v>
      </c>
      <c r="AB10" s="12">
        <v>37.75</v>
      </c>
      <c r="AC10" s="13">
        <v>42.42</v>
      </c>
      <c r="AD10" s="12">
        <v>13.66</v>
      </c>
      <c r="AE10" s="13">
        <v>20.89</v>
      </c>
      <c r="AF10" s="12" t="s">
        <v>18</v>
      </c>
      <c r="AG10" s="13" t="s">
        <v>84</v>
      </c>
      <c r="AH10" s="12">
        <v>1</v>
      </c>
      <c r="AI10" s="12">
        <v>1</v>
      </c>
      <c r="AJ10" s="25">
        <v>1</v>
      </c>
    </row>
    <row r="11" spans="1:36" ht="17.25" thickBot="1" x14ac:dyDescent="0.3">
      <c r="A11" s="22" t="s">
        <v>86</v>
      </c>
      <c r="B11" s="8" t="s">
        <v>83</v>
      </c>
      <c r="C11" s="9">
        <v>133</v>
      </c>
      <c r="D11" s="9">
        <v>140</v>
      </c>
      <c r="E11" s="9">
        <v>5.5</v>
      </c>
      <c r="F11" s="9">
        <v>8.5</v>
      </c>
      <c r="G11" s="10">
        <v>12</v>
      </c>
      <c r="H11" s="9">
        <v>24.7</v>
      </c>
      <c r="I11" s="9">
        <v>0.79400000000000004</v>
      </c>
      <c r="J11" s="9">
        <v>3142</v>
      </c>
      <c r="K11" s="9">
        <v>1012</v>
      </c>
      <c r="L11" s="10">
        <v>2380</v>
      </c>
      <c r="M11" s="9">
        <v>10.33</v>
      </c>
      <c r="N11" s="9">
        <v>57.3</v>
      </c>
      <c r="O11" s="9">
        <v>155.4</v>
      </c>
      <c r="P11" s="10">
        <v>173.5</v>
      </c>
      <c r="Q11" s="9">
        <v>3.8929999999999998</v>
      </c>
      <c r="R11" s="9">
        <v>35.200000000000003</v>
      </c>
      <c r="S11" s="9">
        <v>55.62</v>
      </c>
      <c r="T11" s="10">
        <v>84.85</v>
      </c>
      <c r="U11" s="9">
        <v>80.319999999999993</v>
      </c>
      <c r="V11" s="9">
        <v>14.6</v>
      </c>
      <c r="W11" s="9">
        <v>14729</v>
      </c>
      <c r="X11" s="10">
        <v>3409</v>
      </c>
      <c r="Y11" s="9">
        <v>1115.27</v>
      </c>
      <c r="Z11" s="9">
        <v>207.49</v>
      </c>
      <c r="AA11" s="10">
        <v>487.8</v>
      </c>
      <c r="AB11" s="9">
        <v>55.15</v>
      </c>
      <c r="AC11" s="10">
        <v>61.59</v>
      </c>
      <c r="AD11" s="9">
        <v>19.739999999999998</v>
      </c>
      <c r="AE11" s="10">
        <v>30.12</v>
      </c>
      <c r="AF11" s="9" t="s">
        <v>18</v>
      </c>
      <c r="AG11" s="10" t="s">
        <v>84</v>
      </c>
      <c r="AH11" s="9">
        <v>1</v>
      </c>
      <c r="AI11" s="9">
        <v>1</v>
      </c>
      <c r="AJ11" s="24">
        <v>1</v>
      </c>
    </row>
    <row r="12" spans="1:36" ht="17.25" thickBot="1" x14ac:dyDescent="0.3">
      <c r="A12" s="23" t="s">
        <v>87</v>
      </c>
      <c r="B12" s="11" t="s">
        <v>83</v>
      </c>
      <c r="C12" s="12">
        <v>152</v>
      </c>
      <c r="D12" s="12">
        <v>160</v>
      </c>
      <c r="E12" s="12">
        <v>6</v>
      </c>
      <c r="F12" s="12">
        <v>9</v>
      </c>
      <c r="G12" s="13">
        <v>15</v>
      </c>
      <c r="H12" s="12">
        <v>30.4</v>
      </c>
      <c r="I12" s="12">
        <v>0.90600000000000003</v>
      </c>
      <c r="J12" s="12">
        <v>3877</v>
      </c>
      <c r="K12" s="12">
        <v>1321</v>
      </c>
      <c r="L12" s="13">
        <v>2880</v>
      </c>
      <c r="M12" s="12">
        <v>16.73</v>
      </c>
      <c r="N12" s="12">
        <v>65.7</v>
      </c>
      <c r="O12" s="12">
        <v>220.1</v>
      </c>
      <c r="P12" s="13">
        <v>245.1</v>
      </c>
      <c r="Q12" s="12">
        <v>6.1559999999999997</v>
      </c>
      <c r="R12" s="12">
        <v>39.799999999999997</v>
      </c>
      <c r="S12" s="12">
        <v>76.95</v>
      </c>
      <c r="T12" s="13">
        <v>117.6</v>
      </c>
      <c r="U12" s="12">
        <v>118.4</v>
      </c>
      <c r="V12" s="12">
        <v>19.73</v>
      </c>
      <c r="W12" s="12">
        <v>30615</v>
      </c>
      <c r="X12" s="13">
        <v>5404</v>
      </c>
      <c r="Y12" s="12">
        <v>1376.39</v>
      </c>
      <c r="Z12" s="12">
        <v>270.77999999999997</v>
      </c>
      <c r="AA12" s="13">
        <v>590.28</v>
      </c>
      <c r="AB12" s="12">
        <v>78.150000000000006</v>
      </c>
      <c r="AC12" s="13">
        <v>87.03</v>
      </c>
      <c r="AD12" s="12">
        <v>27.32</v>
      </c>
      <c r="AE12" s="13">
        <v>41.76</v>
      </c>
      <c r="AF12" s="12" t="s">
        <v>18</v>
      </c>
      <c r="AG12" s="13" t="s">
        <v>84</v>
      </c>
      <c r="AH12" s="12">
        <v>1</v>
      </c>
      <c r="AI12" s="12">
        <v>1</v>
      </c>
      <c r="AJ12" s="25">
        <v>1</v>
      </c>
    </row>
    <row r="13" spans="1:36" ht="17.25" thickBot="1" x14ac:dyDescent="0.3">
      <c r="A13" s="22" t="s">
        <v>88</v>
      </c>
      <c r="B13" s="8" t="s">
        <v>83</v>
      </c>
      <c r="C13" s="9">
        <v>171</v>
      </c>
      <c r="D13" s="9">
        <v>180</v>
      </c>
      <c r="E13" s="9">
        <v>6</v>
      </c>
      <c r="F13" s="9">
        <v>9.5</v>
      </c>
      <c r="G13" s="10">
        <v>15</v>
      </c>
      <c r="H13" s="9">
        <v>35.5</v>
      </c>
      <c r="I13" s="9">
        <v>1.024</v>
      </c>
      <c r="J13" s="9">
        <v>4525</v>
      </c>
      <c r="K13" s="9">
        <v>1447</v>
      </c>
      <c r="L13" s="10">
        <v>3420</v>
      </c>
      <c r="M13" s="9">
        <v>25.1</v>
      </c>
      <c r="N13" s="9">
        <v>74.5</v>
      </c>
      <c r="O13" s="9">
        <v>293.60000000000002</v>
      </c>
      <c r="P13" s="10">
        <v>324.89999999999998</v>
      </c>
      <c r="Q13" s="9">
        <v>9.2460000000000004</v>
      </c>
      <c r="R13" s="9">
        <v>45.2</v>
      </c>
      <c r="S13" s="9">
        <v>102.7</v>
      </c>
      <c r="T13" s="10">
        <v>156.5</v>
      </c>
      <c r="U13" s="9">
        <v>146.6</v>
      </c>
      <c r="V13" s="9">
        <v>24.43</v>
      </c>
      <c r="W13" s="9">
        <v>59014</v>
      </c>
      <c r="X13" s="10">
        <v>8182</v>
      </c>
      <c r="Y13" s="9">
        <v>1606.43</v>
      </c>
      <c r="Z13" s="9">
        <v>296.61</v>
      </c>
      <c r="AA13" s="10">
        <v>700.96</v>
      </c>
      <c r="AB13" s="9">
        <v>104.23</v>
      </c>
      <c r="AC13" s="10">
        <v>115.32</v>
      </c>
      <c r="AD13" s="9">
        <v>36.47</v>
      </c>
      <c r="AE13" s="10">
        <v>55.56</v>
      </c>
      <c r="AF13" s="9" t="s">
        <v>18</v>
      </c>
      <c r="AG13" s="10" t="s">
        <v>84</v>
      </c>
      <c r="AH13" s="9">
        <v>1</v>
      </c>
      <c r="AI13" s="9">
        <v>1</v>
      </c>
      <c r="AJ13" s="24">
        <v>2</v>
      </c>
    </row>
    <row r="14" spans="1:36" ht="17.25" thickBot="1" x14ac:dyDescent="0.3">
      <c r="A14" s="23" t="s">
        <v>89</v>
      </c>
      <c r="B14" s="11" t="s">
        <v>83</v>
      </c>
      <c r="C14" s="12">
        <v>190</v>
      </c>
      <c r="D14" s="12">
        <v>200</v>
      </c>
      <c r="E14" s="12">
        <v>6.5</v>
      </c>
      <c r="F14" s="12">
        <v>10</v>
      </c>
      <c r="G14" s="13">
        <v>18</v>
      </c>
      <c r="H14" s="12">
        <v>42.3</v>
      </c>
      <c r="I14" s="12">
        <v>1.1359999999999999</v>
      </c>
      <c r="J14" s="12">
        <v>5383</v>
      </c>
      <c r="K14" s="12">
        <v>1808</v>
      </c>
      <c r="L14" s="13">
        <v>4000</v>
      </c>
      <c r="M14" s="12">
        <v>36.92</v>
      </c>
      <c r="N14" s="12">
        <v>82.8</v>
      </c>
      <c r="O14" s="12">
        <v>388.6</v>
      </c>
      <c r="P14" s="13">
        <v>429.5</v>
      </c>
      <c r="Q14" s="12">
        <v>13.36</v>
      </c>
      <c r="R14" s="12">
        <v>49.8</v>
      </c>
      <c r="S14" s="12">
        <v>133.6</v>
      </c>
      <c r="T14" s="13">
        <v>203.8</v>
      </c>
      <c r="U14" s="12">
        <v>204.3</v>
      </c>
      <c r="V14" s="12">
        <v>31.43</v>
      </c>
      <c r="W14" s="12">
        <v>105580</v>
      </c>
      <c r="X14" s="13">
        <v>11830</v>
      </c>
      <c r="Y14" s="12">
        <v>1911.01</v>
      </c>
      <c r="Z14" s="12">
        <v>370.59</v>
      </c>
      <c r="AA14" s="13">
        <v>819.84</v>
      </c>
      <c r="AB14" s="12">
        <v>137.97</v>
      </c>
      <c r="AC14" s="13">
        <v>152.47</v>
      </c>
      <c r="AD14" s="12">
        <v>47.41</v>
      </c>
      <c r="AE14" s="13">
        <v>72.36</v>
      </c>
      <c r="AF14" s="12" t="s">
        <v>18</v>
      </c>
      <c r="AG14" s="13" t="s">
        <v>84</v>
      </c>
      <c r="AH14" s="12">
        <v>1</v>
      </c>
      <c r="AI14" s="12">
        <v>1</v>
      </c>
      <c r="AJ14" s="25">
        <v>2</v>
      </c>
    </row>
    <row r="15" spans="1:36" ht="17.25" thickBot="1" x14ac:dyDescent="0.3">
      <c r="A15" s="22" t="s">
        <v>90</v>
      </c>
      <c r="B15" s="8" t="s">
        <v>83</v>
      </c>
      <c r="C15" s="9">
        <v>210</v>
      </c>
      <c r="D15" s="9">
        <v>220</v>
      </c>
      <c r="E15" s="9">
        <v>7</v>
      </c>
      <c r="F15" s="9">
        <v>11</v>
      </c>
      <c r="G15" s="10">
        <v>18</v>
      </c>
      <c r="H15" s="9">
        <v>50.5</v>
      </c>
      <c r="I15" s="9">
        <v>1.2549999999999999</v>
      </c>
      <c r="J15" s="9">
        <v>6434</v>
      </c>
      <c r="K15" s="9">
        <v>2067</v>
      </c>
      <c r="L15" s="10">
        <v>4840</v>
      </c>
      <c r="M15" s="9">
        <v>54.1</v>
      </c>
      <c r="N15" s="9">
        <v>91.7</v>
      </c>
      <c r="O15" s="9">
        <v>515.20000000000005</v>
      </c>
      <c r="P15" s="10">
        <v>568.5</v>
      </c>
      <c r="Q15" s="9">
        <v>19.55</v>
      </c>
      <c r="R15" s="9">
        <v>55.1</v>
      </c>
      <c r="S15" s="9">
        <v>177.7</v>
      </c>
      <c r="T15" s="10">
        <v>270.60000000000002</v>
      </c>
      <c r="U15" s="9">
        <v>280.89999999999998</v>
      </c>
      <c r="V15" s="9">
        <v>40.130000000000003</v>
      </c>
      <c r="W15" s="9">
        <v>189610</v>
      </c>
      <c r="X15" s="10">
        <v>17440</v>
      </c>
      <c r="Y15" s="9">
        <v>2284.11</v>
      </c>
      <c r="Z15" s="9">
        <v>423.68</v>
      </c>
      <c r="AA15" s="10">
        <v>992</v>
      </c>
      <c r="AB15" s="9">
        <v>182.9</v>
      </c>
      <c r="AC15" s="10">
        <v>201.8</v>
      </c>
      <c r="AD15" s="9">
        <v>63.08</v>
      </c>
      <c r="AE15" s="10">
        <v>96.06</v>
      </c>
      <c r="AF15" s="9" t="s">
        <v>18</v>
      </c>
      <c r="AG15" s="10" t="s">
        <v>84</v>
      </c>
      <c r="AH15" s="9">
        <v>1</v>
      </c>
      <c r="AI15" s="9">
        <v>1</v>
      </c>
      <c r="AJ15" s="24">
        <v>2</v>
      </c>
    </row>
    <row r="16" spans="1:36" ht="17.25" thickBot="1" x14ac:dyDescent="0.3">
      <c r="A16" s="23" t="s">
        <v>91</v>
      </c>
      <c r="B16" s="11" t="s">
        <v>83</v>
      </c>
      <c r="C16" s="12">
        <v>230</v>
      </c>
      <c r="D16" s="12">
        <v>240</v>
      </c>
      <c r="E16" s="12">
        <v>7.5</v>
      </c>
      <c r="F16" s="12">
        <v>12</v>
      </c>
      <c r="G16" s="13">
        <v>21</v>
      </c>
      <c r="H16" s="12">
        <v>60.3</v>
      </c>
      <c r="I16" s="12">
        <v>1.369</v>
      </c>
      <c r="J16" s="12">
        <v>7684</v>
      </c>
      <c r="K16" s="12">
        <v>2518</v>
      </c>
      <c r="L16" s="13">
        <v>5760</v>
      </c>
      <c r="M16" s="12">
        <v>77.63</v>
      </c>
      <c r="N16" s="12">
        <v>100.5</v>
      </c>
      <c r="O16" s="12">
        <v>675.1</v>
      </c>
      <c r="P16" s="13">
        <v>744.6</v>
      </c>
      <c r="Q16" s="12">
        <v>27.69</v>
      </c>
      <c r="R16" s="12">
        <v>60</v>
      </c>
      <c r="S16" s="12">
        <v>230.7</v>
      </c>
      <c r="T16" s="13">
        <v>351.7</v>
      </c>
      <c r="U16" s="12">
        <v>410.3</v>
      </c>
      <c r="V16" s="12">
        <v>54.71</v>
      </c>
      <c r="W16" s="12">
        <v>321640</v>
      </c>
      <c r="X16" s="13">
        <v>24780</v>
      </c>
      <c r="Y16" s="12">
        <v>2727.66</v>
      </c>
      <c r="Z16" s="12">
        <v>516</v>
      </c>
      <c r="AA16" s="13">
        <v>1180.57</v>
      </c>
      <c r="AB16" s="12">
        <v>239.65</v>
      </c>
      <c r="AC16" s="13">
        <v>264.33999999999997</v>
      </c>
      <c r="AD16" s="12">
        <v>81.91</v>
      </c>
      <c r="AE16" s="13">
        <v>124.85</v>
      </c>
      <c r="AF16" s="12" t="s">
        <v>18</v>
      </c>
      <c r="AG16" s="13" t="s">
        <v>84</v>
      </c>
      <c r="AH16" s="12">
        <v>1</v>
      </c>
      <c r="AI16" s="12">
        <v>1</v>
      </c>
      <c r="AJ16" s="25">
        <v>2</v>
      </c>
    </row>
    <row r="17" spans="1:36" ht="17.25" thickBot="1" x14ac:dyDescent="0.3">
      <c r="A17" s="22" t="s">
        <v>92</v>
      </c>
      <c r="B17" s="8" t="s">
        <v>83</v>
      </c>
      <c r="C17" s="9">
        <v>250</v>
      </c>
      <c r="D17" s="9">
        <v>260</v>
      </c>
      <c r="E17" s="9">
        <v>7.5</v>
      </c>
      <c r="F17" s="9">
        <v>12.5</v>
      </c>
      <c r="G17" s="10">
        <v>24</v>
      </c>
      <c r="H17" s="9">
        <v>68.2</v>
      </c>
      <c r="I17" s="9">
        <v>1.484</v>
      </c>
      <c r="J17" s="9">
        <v>8682</v>
      </c>
      <c r="K17" s="9">
        <v>2876</v>
      </c>
      <c r="L17" s="10">
        <v>6500</v>
      </c>
      <c r="M17" s="9">
        <v>104.5</v>
      </c>
      <c r="N17" s="9">
        <v>109.7</v>
      </c>
      <c r="O17" s="9">
        <v>836.4</v>
      </c>
      <c r="P17" s="10">
        <v>919.8</v>
      </c>
      <c r="Q17" s="9">
        <v>36.68</v>
      </c>
      <c r="R17" s="9">
        <v>65</v>
      </c>
      <c r="S17" s="9">
        <v>282.10000000000002</v>
      </c>
      <c r="T17" s="10">
        <v>430.2</v>
      </c>
      <c r="U17" s="9">
        <v>520</v>
      </c>
      <c r="V17" s="9">
        <v>69.33</v>
      </c>
      <c r="W17" s="9">
        <v>504990</v>
      </c>
      <c r="X17" s="10">
        <v>32980</v>
      </c>
      <c r="Y17" s="9">
        <v>3082.09</v>
      </c>
      <c r="Z17" s="9">
        <v>589.4</v>
      </c>
      <c r="AA17" s="10">
        <v>1332.24</v>
      </c>
      <c r="AB17" s="9">
        <v>296.92</v>
      </c>
      <c r="AC17" s="10">
        <v>326.52</v>
      </c>
      <c r="AD17" s="9">
        <v>100.15</v>
      </c>
      <c r="AE17" s="10">
        <v>152.71</v>
      </c>
      <c r="AF17" s="9" t="s">
        <v>18</v>
      </c>
      <c r="AG17" s="10" t="s">
        <v>84</v>
      </c>
      <c r="AH17" s="9">
        <v>1</v>
      </c>
      <c r="AI17" s="9">
        <v>1</v>
      </c>
      <c r="AJ17" s="24">
        <v>3</v>
      </c>
    </row>
    <row r="18" spans="1:36" ht="17.25" thickBot="1" x14ac:dyDescent="0.3">
      <c r="A18" s="23" t="s">
        <v>93</v>
      </c>
      <c r="B18" s="11" t="s">
        <v>83</v>
      </c>
      <c r="C18" s="12">
        <v>270</v>
      </c>
      <c r="D18" s="12">
        <v>280</v>
      </c>
      <c r="E18" s="12">
        <v>8</v>
      </c>
      <c r="F18" s="12">
        <v>13</v>
      </c>
      <c r="G18" s="13">
        <v>24</v>
      </c>
      <c r="H18" s="12">
        <v>76.400000000000006</v>
      </c>
      <c r="I18" s="12">
        <v>1.603</v>
      </c>
      <c r="J18" s="12">
        <v>9726</v>
      </c>
      <c r="K18" s="12">
        <v>3174</v>
      </c>
      <c r="L18" s="13">
        <v>7280</v>
      </c>
      <c r="M18" s="12">
        <v>136.69999999999999</v>
      </c>
      <c r="N18" s="12">
        <v>118.6</v>
      </c>
      <c r="O18" s="12">
        <v>1013</v>
      </c>
      <c r="P18" s="13">
        <v>1112</v>
      </c>
      <c r="Q18" s="12">
        <v>47.63</v>
      </c>
      <c r="R18" s="12">
        <v>70</v>
      </c>
      <c r="S18" s="12">
        <v>340.2</v>
      </c>
      <c r="T18" s="13">
        <v>518.1</v>
      </c>
      <c r="U18" s="12">
        <v>613.9</v>
      </c>
      <c r="V18" s="12">
        <v>76.739999999999995</v>
      </c>
      <c r="W18" s="12">
        <v>770140</v>
      </c>
      <c r="X18" s="13">
        <v>43120</v>
      </c>
      <c r="Y18" s="12">
        <v>3452.89</v>
      </c>
      <c r="Z18" s="12">
        <v>650.63</v>
      </c>
      <c r="AA18" s="13">
        <v>1492.1</v>
      </c>
      <c r="AB18" s="12">
        <v>359.56</v>
      </c>
      <c r="AC18" s="13">
        <v>394.84</v>
      </c>
      <c r="AD18" s="12">
        <v>120.77</v>
      </c>
      <c r="AE18" s="13">
        <v>183.94</v>
      </c>
      <c r="AF18" s="12" t="s">
        <v>18</v>
      </c>
      <c r="AG18" s="13" t="s">
        <v>84</v>
      </c>
      <c r="AH18" s="12">
        <v>1</v>
      </c>
      <c r="AI18" s="12">
        <v>1</v>
      </c>
      <c r="AJ18" s="25">
        <v>3</v>
      </c>
    </row>
    <row r="19" spans="1:36" ht="17.25" thickBot="1" x14ac:dyDescent="0.3">
      <c r="A19" s="22" t="s">
        <v>94</v>
      </c>
      <c r="B19" s="8" t="s">
        <v>83</v>
      </c>
      <c r="C19" s="9">
        <v>290</v>
      </c>
      <c r="D19" s="9">
        <v>300</v>
      </c>
      <c r="E19" s="9">
        <v>8.5</v>
      </c>
      <c r="F19" s="9">
        <v>14</v>
      </c>
      <c r="G19" s="10">
        <v>27</v>
      </c>
      <c r="H19" s="9">
        <v>88.3</v>
      </c>
      <c r="I19" s="9">
        <v>1.7170000000000001</v>
      </c>
      <c r="J19" s="9">
        <v>11253</v>
      </c>
      <c r="K19" s="9">
        <v>3728</v>
      </c>
      <c r="L19" s="10">
        <v>8400</v>
      </c>
      <c r="M19" s="9">
        <v>182.6</v>
      </c>
      <c r="N19" s="9">
        <v>127.4</v>
      </c>
      <c r="O19" s="9">
        <v>1260</v>
      </c>
      <c r="P19" s="10">
        <v>1383</v>
      </c>
      <c r="Q19" s="9">
        <v>63.1</v>
      </c>
      <c r="R19" s="9">
        <v>74.900000000000006</v>
      </c>
      <c r="S19" s="9">
        <v>420.6</v>
      </c>
      <c r="T19" s="10">
        <v>641.20000000000005</v>
      </c>
      <c r="U19" s="9">
        <v>842.4</v>
      </c>
      <c r="V19" s="9">
        <v>99.11</v>
      </c>
      <c r="W19" s="9">
        <v>1174700</v>
      </c>
      <c r="X19" s="10">
        <v>57190</v>
      </c>
      <c r="Y19" s="9">
        <v>3994.74</v>
      </c>
      <c r="Z19" s="9">
        <v>764.04</v>
      </c>
      <c r="AA19" s="10">
        <v>1721.66</v>
      </c>
      <c r="AB19" s="9">
        <v>447.14</v>
      </c>
      <c r="AC19" s="10">
        <v>491.06</v>
      </c>
      <c r="AD19" s="9">
        <v>149.33000000000001</v>
      </c>
      <c r="AE19" s="10">
        <v>227.61</v>
      </c>
      <c r="AF19" s="9" t="s">
        <v>18</v>
      </c>
      <c r="AG19" s="10" t="s">
        <v>84</v>
      </c>
      <c r="AH19" s="9">
        <v>1</v>
      </c>
      <c r="AI19" s="9">
        <v>1</v>
      </c>
      <c r="AJ19" s="24">
        <v>3</v>
      </c>
    </row>
    <row r="20" spans="1:36" ht="17.25" thickBot="1" x14ac:dyDescent="0.3">
      <c r="A20" s="23" t="s">
        <v>95</v>
      </c>
      <c r="B20" s="11" t="s">
        <v>83</v>
      </c>
      <c r="C20" s="12">
        <v>310</v>
      </c>
      <c r="D20" s="12">
        <v>300</v>
      </c>
      <c r="E20" s="12">
        <v>9</v>
      </c>
      <c r="F20" s="12">
        <v>15.5</v>
      </c>
      <c r="G20" s="13">
        <v>27</v>
      </c>
      <c r="H20" s="12">
        <v>97.6</v>
      </c>
      <c r="I20" s="12">
        <v>1.756</v>
      </c>
      <c r="J20" s="12">
        <v>12437</v>
      </c>
      <c r="K20" s="12">
        <v>4113</v>
      </c>
      <c r="L20" s="13">
        <v>9300</v>
      </c>
      <c r="M20" s="12">
        <v>229.3</v>
      </c>
      <c r="N20" s="12">
        <v>135.80000000000001</v>
      </c>
      <c r="O20" s="12">
        <v>1479</v>
      </c>
      <c r="P20" s="13">
        <v>1628</v>
      </c>
      <c r="Q20" s="12">
        <v>69.849999999999994</v>
      </c>
      <c r="R20" s="12">
        <v>74.900000000000006</v>
      </c>
      <c r="S20" s="12">
        <v>465.7</v>
      </c>
      <c r="T20" s="13">
        <v>709.7</v>
      </c>
      <c r="U20" s="12">
        <v>1088</v>
      </c>
      <c r="V20" s="12">
        <v>120.9</v>
      </c>
      <c r="W20" s="12">
        <v>1482600</v>
      </c>
      <c r="X20" s="13">
        <v>67640</v>
      </c>
      <c r="Y20" s="12">
        <v>4415.0600000000004</v>
      </c>
      <c r="Z20" s="12">
        <v>843.05</v>
      </c>
      <c r="AA20" s="13">
        <v>1906.12</v>
      </c>
      <c r="AB20" s="12">
        <v>525.14</v>
      </c>
      <c r="AC20" s="13">
        <v>577.97</v>
      </c>
      <c r="AD20" s="12">
        <v>165.32</v>
      </c>
      <c r="AE20" s="13">
        <v>251.96</v>
      </c>
      <c r="AF20" s="12" t="s">
        <v>18</v>
      </c>
      <c r="AG20" s="13" t="s">
        <v>84</v>
      </c>
      <c r="AH20" s="12">
        <v>1</v>
      </c>
      <c r="AI20" s="12">
        <v>1</v>
      </c>
      <c r="AJ20" s="25">
        <v>2</v>
      </c>
    </row>
    <row r="21" spans="1:36" ht="17.25" thickBot="1" x14ac:dyDescent="0.3">
      <c r="A21" s="22" t="s">
        <v>96</v>
      </c>
      <c r="B21" s="8" t="s">
        <v>83</v>
      </c>
      <c r="C21" s="9">
        <v>330</v>
      </c>
      <c r="D21" s="9">
        <v>300</v>
      </c>
      <c r="E21" s="9">
        <v>9.5</v>
      </c>
      <c r="F21" s="9">
        <v>16.5</v>
      </c>
      <c r="G21" s="10">
        <v>27</v>
      </c>
      <c r="H21" s="9">
        <v>104.8</v>
      </c>
      <c r="I21" s="9">
        <v>1.7949999999999999</v>
      </c>
      <c r="J21" s="9">
        <v>13347</v>
      </c>
      <c r="K21" s="9">
        <v>4495</v>
      </c>
      <c r="L21" s="10">
        <v>9900</v>
      </c>
      <c r="M21" s="9">
        <v>276.89999999999998</v>
      </c>
      <c r="N21" s="9">
        <v>144</v>
      </c>
      <c r="O21" s="9">
        <v>1678</v>
      </c>
      <c r="P21" s="10">
        <v>1850</v>
      </c>
      <c r="Q21" s="9">
        <v>74.36</v>
      </c>
      <c r="R21" s="9">
        <v>74.599999999999994</v>
      </c>
      <c r="S21" s="9">
        <v>495.7</v>
      </c>
      <c r="T21" s="10">
        <v>755.9</v>
      </c>
      <c r="U21" s="9">
        <v>1287</v>
      </c>
      <c r="V21" s="9">
        <v>135.5</v>
      </c>
      <c r="W21" s="9">
        <v>1790200</v>
      </c>
      <c r="X21" s="10">
        <v>76670</v>
      </c>
      <c r="Y21" s="9">
        <v>4738.28</v>
      </c>
      <c r="Z21" s="9">
        <v>921.3</v>
      </c>
      <c r="AA21" s="10">
        <v>2029.1</v>
      </c>
      <c r="AB21" s="9">
        <v>595.82000000000005</v>
      </c>
      <c r="AC21" s="10">
        <v>656.92</v>
      </c>
      <c r="AD21" s="9">
        <v>175.99</v>
      </c>
      <c r="AE21" s="10">
        <v>268.36</v>
      </c>
      <c r="AF21" s="9" t="s">
        <v>18</v>
      </c>
      <c r="AG21" s="10" t="s">
        <v>84</v>
      </c>
      <c r="AH21" s="9">
        <v>1</v>
      </c>
      <c r="AI21" s="9">
        <v>1</v>
      </c>
      <c r="AJ21" s="24">
        <v>1</v>
      </c>
    </row>
    <row r="22" spans="1:36" ht="17.25" thickBot="1" x14ac:dyDescent="0.3">
      <c r="A22" s="23" t="s">
        <v>97</v>
      </c>
      <c r="B22" s="11" t="s">
        <v>83</v>
      </c>
      <c r="C22" s="12">
        <v>350</v>
      </c>
      <c r="D22" s="12">
        <v>300</v>
      </c>
      <c r="E22" s="12">
        <v>10</v>
      </c>
      <c r="F22" s="12">
        <v>17.5</v>
      </c>
      <c r="G22" s="13">
        <v>27</v>
      </c>
      <c r="H22" s="12">
        <v>112.1</v>
      </c>
      <c r="I22" s="12">
        <v>1.8340000000000001</v>
      </c>
      <c r="J22" s="12">
        <v>14276</v>
      </c>
      <c r="K22" s="12">
        <v>4896</v>
      </c>
      <c r="L22" s="13">
        <v>10500</v>
      </c>
      <c r="M22" s="12">
        <v>330.9</v>
      </c>
      <c r="N22" s="12">
        <v>152.19999999999999</v>
      </c>
      <c r="O22" s="12">
        <v>1891</v>
      </c>
      <c r="P22" s="13">
        <v>2088</v>
      </c>
      <c r="Q22" s="12">
        <v>78.87</v>
      </c>
      <c r="R22" s="12">
        <v>74.3</v>
      </c>
      <c r="S22" s="12">
        <v>525.79999999999995</v>
      </c>
      <c r="T22" s="13">
        <v>802.3</v>
      </c>
      <c r="U22" s="12">
        <v>1510</v>
      </c>
      <c r="V22" s="12">
        <v>151</v>
      </c>
      <c r="W22" s="12">
        <v>2137700</v>
      </c>
      <c r="X22" s="13">
        <v>86300</v>
      </c>
      <c r="Y22" s="12">
        <v>5067.8999999999996</v>
      </c>
      <c r="Z22" s="12">
        <v>1003.44</v>
      </c>
      <c r="AA22" s="13">
        <v>2152.0700000000002</v>
      </c>
      <c r="AB22" s="12">
        <v>671.25</v>
      </c>
      <c r="AC22" s="13">
        <v>741.41</v>
      </c>
      <c r="AD22" s="12">
        <v>186.66</v>
      </c>
      <c r="AE22" s="13">
        <v>284.81</v>
      </c>
      <c r="AF22" s="12" t="s">
        <v>18</v>
      </c>
      <c r="AG22" s="13" t="s">
        <v>84</v>
      </c>
      <c r="AH22" s="12">
        <v>1</v>
      </c>
      <c r="AI22" s="12">
        <v>1</v>
      </c>
      <c r="AJ22" s="25">
        <v>1</v>
      </c>
    </row>
    <row r="23" spans="1:36" ht="17.25" thickBot="1" x14ac:dyDescent="0.3">
      <c r="A23" s="22" t="s">
        <v>98</v>
      </c>
      <c r="B23" s="8" t="s">
        <v>83</v>
      </c>
      <c r="C23" s="9">
        <v>390</v>
      </c>
      <c r="D23" s="9">
        <v>300</v>
      </c>
      <c r="E23" s="9">
        <v>11</v>
      </c>
      <c r="F23" s="9">
        <v>19</v>
      </c>
      <c r="G23" s="10">
        <v>27</v>
      </c>
      <c r="H23" s="9">
        <v>124.8</v>
      </c>
      <c r="I23" s="9">
        <v>1.9119999999999999</v>
      </c>
      <c r="J23" s="9">
        <v>15898</v>
      </c>
      <c r="K23" s="9">
        <v>5733</v>
      </c>
      <c r="L23" s="10">
        <v>11400</v>
      </c>
      <c r="M23" s="9">
        <v>450.7</v>
      </c>
      <c r="N23" s="9">
        <v>168.4</v>
      </c>
      <c r="O23" s="9">
        <v>2311</v>
      </c>
      <c r="P23" s="10">
        <v>2562</v>
      </c>
      <c r="Q23" s="9">
        <v>85.64</v>
      </c>
      <c r="R23" s="9">
        <v>73.400000000000006</v>
      </c>
      <c r="S23" s="9">
        <v>570.9</v>
      </c>
      <c r="T23" s="10">
        <v>872.9</v>
      </c>
      <c r="U23" s="9">
        <v>1914</v>
      </c>
      <c r="V23" s="9">
        <v>174</v>
      </c>
      <c r="W23" s="9">
        <v>2893600</v>
      </c>
      <c r="X23" s="10">
        <v>104700</v>
      </c>
      <c r="Y23" s="9">
        <v>5643.71</v>
      </c>
      <c r="Z23" s="9">
        <v>1174.99</v>
      </c>
      <c r="AA23" s="10">
        <v>2336.54</v>
      </c>
      <c r="AB23" s="9">
        <v>820.49</v>
      </c>
      <c r="AC23" s="10">
        <v>909.44</v>
      </c>
      <c r="AD23" s="9">
        <v>202.68</v>
      </c>
      <c r="AE23" s="10">
        <v>309.87</v>
      </c>
      <c r="AF23" s="9" t="s">
        <v>99</v>
      </c>
      <c r="AG23" s="10" t="s">
        <v>18</v>
      </c>
      <c r="AH23" s="9">
        <v>1</v>
      </c>
      <c r="AI23" s="9">
        <v>2</v>
      </c>
      <c r="AJ23" s="24">
        <v>1</v>
      </c>
    </row>
    <row r="24" spans="1:36" ht="17.25" thickBot="1" x14ac:dyDescent="0.3">
      <c r="A24" s="23" t="s">
        <v>100</v>
      </c>
      <c r="B24" s="11" t="s">
        <v>83</v>
      </c>
      <c r="C24" s="12">
        <v>440</v>
      </c>
      <c r="D24" s="12">
        <v>300</v>
      </c>
      <c r="E24" s="12">
        <v>11.5</v>
      </c>
      <c r="F24" s="12">
        <v>21</v>
      </c>
      <c r="G24" s="13">
        <v>27</v>
      </c>
      <c r="H24" s="12">
        <v>139.80000000000001</v>
      </c>
      <c r="I24" s="12">
        <v>2.0110000000000001</v>
      </c>
      <c r="J24" s="12">
        <v>17803</v>
      </c>
      <c r="K24" s="12">
        <v>6578</v>
      </c>
      <c r="L24" s="13">
        <v>12600</v>
      </c>
      <c r="M24" s="12">
        <v>637.20000000000005</v>
      </c>
      <c r="N24" s="12">
        <v>189.2</v>
      </c>
      <c r="O24" s="12">
        <v>2896</v>
      </c>
      <c r="P24" s="13">
        <v>3216</v>
      </c>
      <c r="Q24" s="12">
        <v>94.65</v>
      </c>
      <c r="R24" s="12">
        <v>72.900000000000006</v>
      </c>
      <c r="S24" s="12">
        <v>631</v>
      </c>
      <c r="T24" s="13">
        <v>965.5</v>
      </c>
      <c r="U24" s="12">
        <v>2491</v>
      </c>
      <c r="V24" s="12">
        <v>216.6</v>
      </c>
      <c r="W24" s="12">
        <v>4087200</v>
      </c>
      <c r="X24" s="13">
        <v>130800</v>
      </c>
      <c r="Y24" s="12">
        <v>6319.99</v>
      </c>
      <c r="Z24" s="12">
        <v>1348.28</v>
      </c>
      <c r="AA24" s="13">
        <v>2582.4899999999998</v>
      </c>
      <c r="AB24" s="12">
        <v>1028.24</v>
      </c>
      <c r="AC24" s="13">
        <v>1141.6300000000001</v>
      </c>
      <c r="AD24" s="12">
        <v>224.01</v>
      </c>
      <c r="AE24" s="13">
        <v>342.76</v>
      </c>
      <c r="AF24" s="12" t="s">
        <v>99</v>
      </c>
      <c r="AG24" s="13" t="s">
        <v>18</v>
      </c>
      <c r="AH24" s="12">
        <v>1</v>
      </c>
      <c r="AI24" s="12">
        <v>2</v>
      </c>
      <c r="AJ24" s="25">
        <v>1</v>
      </c>
    </row>
    <row r="25" spans="1:36" ht="17.25" thickBot="1" x14ac:dyDescent="0.3">
      <c r="A25" s="22" t="s">
        <v>101</v>
      </c>
      <c r="B25" s="8" t="s">
        <v>83</v>
      </c>
      <c r="C25" s="9">
        <v>490</v>
      </c>
      <c r="D25" s="9">
        <v>300</v>
      </c>
      <c r="E25" s="9">
        <v>12</v>
      </c>
      <c r="F25" s="9">
        <v>23</v>
      </c>
      <c r="G25" s="10">
        <v>27</v>
      </c>
      <c r="H25" s="9">
        <v>155.1</v>
      </c>
      <c r="I25" s="9">
        <v>2.11</v>
      </c>
      <c r="J25" s="9">
        <v>19754</v>
      </c>
      <c r="K25" s="9">
        <v>7472</v>
      </c>
      <c r="L25" s="10">
        <v>13800</v>
      </c>
      <c r="M25" s="9">
        <v>869.7</v>
      </c>
      <c r="N25" s="9">
        <v>209.8</v>
      </c>
      <c r="O25" s="9">
        <v>3550</v>
      </c>
      <c r="P25" s="10">
        <v>3949</v>
      </c>
      <c r="Q25" s="9">
        <v>103.7</v>
      </c>
      <c r="R25" s="9">
        <v>72.400000000000006</v>
      </c>
      <c r="S25" s="9">
        <v>691.1</v>
      </c>
      <c r="T25" s="10">
        <v>1059</v>
      </c>
      <c r="U25" s="9">
        <v>3177</v>
      </c>
      <c r="V25" s="9">
        <v>264.8</v>
      </c>
      <c r="W25" s="9">
        <v>5569200</v>
      </c>
      <c r="X25" s="10">
        <v>159800</v>
      </c>
      <c r="Y25" s="9">
        <v>7012.59</v>
      </c>
      <c r="Z25" s="9">
        <v>1531.41</v>
      </c>
      <c r="AA25" s="10">
        <v>2828.44</v>
      </c>
      <c r="AB25" s="9">
        <v>1260.25</v>
      </c>
      <c r="AC25" s="10">
        <v>1401.84</v>
      </c>
      <c r="AD25" s="9">
        <v>245.35</v>
      </c>
      <c r="AE25" s="10">
        <v>375.77</v>
      </c>
      <c r="AF25" s="9" t="s">
        <v>99</v>
      </c>
      <c r="AG25" s="10" t="s">
        <v>18</v>
      </c>
      <c r="AH25" s="9">
        <v>1</v>
      </c>
      <c r="AI25" s="9">
        <v>3</v>
      </c>
      <c r="AJ25" s="24">
        <v>1</v>
      </c>
    </row>
    <row r="26" spans="1:36" ht="17.25" thickBot="1" x14ac:dyDescent="0.3">
      <c r="A26" s="23" t="s">
        <v>102</v>
      </c>
      <c r="B26" s="11" t="s">
        <v>83</v>
      </c>
      <c r="C26" s="12">
        <v>540</v>
      </c>
      <c r="D26" s="12">
        <v>300</v>
      </c>
      <c r="E26" s="12">
        <v>12.5</v>
      </c>
      <c r="F26" s="12">
        <v>24</v>
      </c>
      <c r="G26" s="13">
        <v>27</v>
      </c>
      <c r="H26" s="12">
        <v>166.2</v>
      </c>
      <c r="I26" s="12">
        <v>2.2090000000000001</v>
      </c>
      <c r="J26" s="12">
        <v>21176</v>
      </c>
      <c r="K26" s="12">
        <v>8372</v>
      </c>
      <c r="L26" s="13">
        <v>14400</v>
      </c>
      <c r="M26" s="12">
        <v>1119</v>
      </c>
      <c r="N26" s="12">
        <v>229.9</v>
      </c>
      <c r="O26" s="12">
        <v>4146</v>
      </c>
      <c r="P26" s="13">
        <v>4622</v>
      </c>
      <c r="Q26" s="12">
        <v>108.2</v>
      </c>
      <c r="R26" s="12">
        <v>71.5</v>
      </c>
      <c r="S26" s="12">
        <v>721.3</v>
      </c>
      <c r="T26" s="13">
        <v>1107</v>
      </c>
      <c r="U26" s="12">
        <v>3606</v>
      </c>
      <c r="V26" s="12">
        <v>288.5</v>
      </c>
      <c r="W26" s="12">
        <v>7103100</v>
      </c>
      <c r="X26" s="13">
        <v>184400</v>
      </c>
      <c r="Y26" s="12">
        <v>7517.4</v>
      </c>
      <c r="Z26" s="12">
        <v>1715.87</v>
      </c>
      <c r="AA26" s="13">
        <v>2951.41</v>
      </c>
      <c r="AB26" s="12">
        <v>1471.7</v>
      </c>
      <c r="AC26" s="13">
        <v>1640.75</v>
      </c>
      <c r="AD26" s="12">
        <v>256.05</v>
      </c>
      <c r="AE26" s="13">
        <v>392.95</v>
      </c>
      <c r="AF26" s="12" t="s">
        <v>99</v>
      </c>
      <c r="AG26" s="13" t="s">
        <v>18</v>
      </c>
      <c r="AH26" s="12">
        <v>1</v>
      </c>
      <c r="AI26" s="12">
        <v>4</v>
      </c>
      <c r="AJ26" s="25">
        <v>1</v>
      </c>
    </row>
    <row r="27" spans="1:36" ht="17.25" thickBot="1" x14ac:dyDescent="0.3">
      <c r="A27" s="22" t="s">
        <v>103</v>
      </c>
      <c r="B27" s="8" t="s">
        <v>83</v>
      </c>
      <c r="C27" s="9">
        <v>590</v>
      </c>
      <c r="D27" s="9">
        <v>300</v>
      </c>
      <c r="E27" s="9">
        <v>13</v>
      </c>
      <c r="F27" s="9">
        <v>25</v>
      </c>
      <c r="G27" s="10">
        <v>27</v>
      </c>
      <c r="H27" s="9">
        <v>177.8</v>
      </c>
      <c r="I27" s="9">
        <v>2.3079999999999998</v>
      </c>
      <c r="J27" s="9">
        <v>22646</v>
      </c>
      <c r="K27" s="9">
        <v>9321</v>
      </c>
      <c r="L27" s="10">
        <v>15000</v>
      </c>
      <c r="M27" s="9">
        <v>1412</v>
      </c>
      <c r="N27" s="9">
        <v>249.7</v>
      </c>
      <c r="O27" s="9">
        <v>4787</v>
      </c>
      <c r="P27" s="10">
        <v>5350</v>
      </c>
      <c r="Q27" s="9">
        <v>112.7</v>
      </c>
      <c r="R27" s="9">
        <v>70.5</v>
      </c>
      <c r="S27" s="9">
        <v>751.4</v>
      </c>
      <c r="T27" s="10">
        <v>1156</v>
      </c>
      <c r="U27" s="9">
        <v>4075</v>
      </c>
      <c r="V27" s="9">
        <v>313.5</v>
      </c>
      <c r="W27" s="9">
        <v>8879600</v>
      </c>
      <c r="X27" s="10">
        <v>210500</v>
      </c>
      <c r="Y27" s="9">
        <v>8039.25</v>
      </c>
      <c r="Z27" s="9">
        <v>1910.38</v>
      </c>
      <c r="AA27" s="10">
        <v>3074.39</v>
      </c>
      <c r="AB27" s="9">
        <v>1699.28</v>
      </c>
      <c r="AC27" s="10">
        <v>1899.39</v>
      </c>
      <c r="AD27" s="9">
        <v>266.75</v>
      </c>
      <c r="AE27" s="10">
        <v>410.26</v>
      </c>
      <c r="AF27" s="9" t="s">
        <v>99</v>
      </c>
      <c r="AG27" s="10" t="s">
        <v>18</v>
      </c>
      <c r="AH27" s="9">
        <v>1</v>
      </c>
      <c r="AI27" s="9">
        <v>4</v>
      </c>
      <c r="AJ27" s="24">
        <v>1</v>
      </c>
    </row>
    <row r="28" spans="1:36" ht="17.25" thickBot="1" x14ac:dyDescent="0.3">
      <c r="A28" s="23" t="s">
        <v>104</v>
      </c>
      <c r="B28" s="11" t="s">
        <v>83</v>
      </c>
      <c r="C28" s="12">
        <v>640</v>
      </c>
      <c r="D28" s="12">
        <v>300</v>
      </c>
      <c r="E28" s="12">
        <v>13.5</v>
      </c>
      <c r="F28" s="12">
        <v>26</v>
      </c>
      <c r="G28" s="13">
        <v>27</v>
      </c>
      <c r="H28" s="12">
        <v>189.7</v>
      </c>
      <c r="I28" s="12">
        <v>2.407</v>
      </c>
      <c r="J28" s="12">
        <v>24164</v>
      </c>
      <c r="K28" s="12">
        <v>10319</v>
      </c>
      <c r="L28" s="13">
        <v>15600</v>
      </c>
      <c r="M28" s="12">
        <v>1752</v>
      </c>
      <c r="N28" s="12">
        <v>269.3</v>
      </c>
      <c r="O28" s="12">
        <v>5474</v>
      </c>
      <c r="P28" s="13">
        <v>6136</v>
      </c>
      <c r="Q28" s="12">
        <v>117.2</v>
      </c>
      <c r="R28" s="12">
        <v>69.7</v>
      </c>
      <c r="S28" s="12">
        <v>781.6</v>
      </c>
      <c r="T28" s="13">
        <v>1205</v>
      </c>
      <c r="U28" s="12">
        <v>4586</v>
      </c>
      <c r="V28" s="12">
        <v>339.7</v>
      </c>
      <c r="W28" s="12">
        <v>10915000</v>
      </c>
      <c r="X28" s="13">
        <v>238000</v>
      </c>
      <c r="Y28" s="12">
        <v>8578.14</v>
      </c>
      <c r="Z28" s="12">
        <v>2114.9299999999998</v>
      </c>
      <c r="AA28" s="13">
        <v>3197.37</v>
      </c>
      <c r="AB28" s="12">
        <v>1943.38</v>
      </c>
      <c r="AC28" s="13">
        <v>2178.38</v>
      </c>
      <c r="AD28" s="12">
        <v>277.47000000000003</v>
      </c>
      <c r="AE28" s="13">
        <v>427.7</v>
      </c>
      <c r="AF28" s="12" t="s">
        <v>99</v>
      </c>
      <c r="AG28" s="13" t="s">
        <v>18</v>
      </c>
      <c r="AH28" s="12">
        <v>1</v>
      </c>
      <c r="AI28" s="12">
        <v>4</v>
      </c>
      <c r="AJ28" s="25">
        <v>1</v>
      </c>
    </row>
    <row r="29" spans="1:36" ht="17.25" thickBot="1" x14ac:dyDescent="0.3">
      <c r="A29" s="22" t="s">
        <v>105</v>
      </c>
      <c r="B29" s="8" t="s">
        <v>83</v>
      </c>
      <c r="C29" s="9">
        <v>690</v>
      </c>
      <c r="D29" s="9">
        <v>300</v>
      </c>
      <c r="E29" s="9">
        <v>14.5</v>
      </c>
      <c r="F29" s="9">
        <v>27</v>
      </c>
      <c r="G29" s="10">
        <v>27</v>
      </c>
      <c r="H29" s="9">
        <v>204.5</v>
      </c>
      <c r="I29" s="9">
        <v>2.5049999999999999</v>
      </c>
      <c r="J29" s="9">
        <v>26048</v>
      </c>
      <c r="K29" s="9">
        <v>11697</v>
      </c>
      <c r="L29" s="10">
        <v>16200</v>
      </c>
      <c r="M29" s="9">
        <v>2153</v>
      </c>
      <c r="N29" s="9">
        <v>287.5</v>
      </c>
      <c r="O29" s="9">
        <v>6241</v>
      </c>
      <c r="P29" s="10">
        <v>7032</v>
      </c>
      <c r="Q29" s="9">
        <v>121.8</v>
      </c>
      <c r="R29" s="9">
        <v>68.400000000000006</v>
      </c>
      <c r="S29" s="9">
        <v>811.9</v>
      </c>
      <c r="T29" s="10">
        <v>1257</v>
      </c>
      <c r="U29" s="9">
        <v>5228</v>
      </c>
      <c r="V29" s="9">
        <v>360.6</v>
      </c>
      <c r="W29" s="9">
        <v>13223000</v>
      </c>
      <c r="X29" s="10">
        <v>267000</v>
      </c>
      <c r="Y29" s="9">
        <v>9246.9599999999991</v>
      </c>
      <c r="Z29" s="9">
        <v>2397.4699999999998</v>
      </c>
      <c r="AA29" s="10">
        <v>3320.34</v>
      </c>
      <c r="AB29" s="9">
        <v>2215.42</v>
      </c>
      <c r="AC29" s="10">
        <v>2496.3000000000002</v>
      </c>
      <c r="AD29" s="9">
        <v>288.23</v>
      </c>
      <c r="AE29" s="10">
        <v>446.14</v>
      </c>
      <c r="AF29" s="9" t="s">
        <v>99</v>
      </c>
      <c r="AG29" s="10" t="s">
        <v>18</v>
      </c>
      <c r="AH29" s="9">
        <v>1</v>
      </c>
      <c r="AI29" s="9">
        <v>4</v>
      </c>
      <c r="AJ29" s="24">
        <v>1</v>
      </c>
    </row>
    <row r="30" spans="1:36" ht="17.25" thickBot="1" x14ac:dyDescent="0.3">
      <c r="A30" s="23" t="s">
        <v>106</v>
      </c>
      <c r="B30" s="11" t="s">
        <v>83</v>
      </c>
      <c r="C30" s="12">
        <v>790</v>
      </c>
      <c r="D30" s="12">
        <v>300</v>
      </c>
      <c r="E30" s="12">
        <v>15</v>
      </c>
      <c r="F30" s="12">
        <v>28</v>
      </c>
      <c r="G30" s="13">
        <v>30</v>
      </c>
      <c r="H30" s="12">
        <v>224.4</v>
      </c>
      <c r="I30" s="12">
        <v>2.698</v>
      </c>
      <c r="J30" s="12">
        <v>28583</v>
      </c>
      <c r="K30" s="12">
        <v>13883</v>
      </c>
      <c r="L30" s="13">
        <v>16800</v>
      </c>
      <c r="M30" s="12">
        <v>3034</v>
      </c>
      <c r="N30" s="12">
        <v>325.8</v>
      </c>
      <c r="O30" s="12">
        <v>7682</v>
      </c>
      <c r="P30" s="13">
        <v>8699</v>
      </c>
      <c r="Q30" s="12">
        <v>126.4</v>
      </c>
      <c r="R30" s="12">
        <v>66.5</v>
      </c>
      <c r="S30" s="12">
        <v>842.6</v>
      </c>
      <c r="T30" s="13">
        <v>1312</v>
      </c>
      <c r="U30" s="12">
        <v>6096</v>
      </c>
      <c r="V30" s="12">
        <v>406.4</v>
      </c>
      <c r="W30" s="12">
        <v>18113000</v>
      </c>
      <c r="X30" s="13">
        <v>318200</v>
      </c>
      <c r="Y30" s="12">
        <v>10146.81</v>
      </c>
      <c r="Z30" s="12">
        <v>2845.36</v>
      </c>
      <c r="AA30" s="13">
        <v>3443.32</v>
      </c>
      <c r="AB30" s="12">
        <v>2727.14</v>
      </c>
      <c r="AC30" s="13">
        <v>3088.32</v>
      </c>
      <c r="AD30" s="12">
        <v>299.12</v>
      </c>
      <c r="AE30" s="13">
        <v>465.85</v>
      </c>
      <c r="AF30" s="12" t="s">
        <v>99</v>
      </c>
      <c r="AG30" s="13" t="s">
        <v>18</v>
      </c>
      <c r="AH30" s="12">
        <v>1</v>
      </c>
      <c r="AI30" s="12">
        <v>4</v>
      </c>
      <c r="AJ30" s="25">
        <v>1</v>
      </c>
    </row>
    <row r="31" spans="1:36" ht="17.25" thickBot="1" x14ac:dyDescent="0.3">
      <c r="A31" s="22" t="s">
        <v>107</v>
      </c>
      <c r="B31" s="8" t="s">
        <v>83</v>
      </c>
      <c r="C31" s="9">
        <v>890</v>
      </c>
      <c r="D31" s="9">
        <v>300</v>
      </c>
      <c r="E31" s="9">
        <v>16</v>
      </c>
      <c r="F31" s="9">
        <v>30</v>
      </c>
      <c r="G31" s="10">
        <v>30</v>
      </c>
      <c r="H31" s="9">
        <v>251.6</v>
      </c>
      <c r="I31" s="9">
        <v>2.8959999999999999</v>
      </c>
      <c r="J31" s="9">
        <v>32053</v>
      </c>
      <c r="K31" s="9">
        <v>16333</v>
      </c>
      <c r="L31" s="10">
        <v>18000</v>
      </c>
      <c r="M31" s="9">
        <v>4221</v>
      </c>
      <c r="N31" s="9">
        <v>362.9</v>
      </c>
      <c r="O31" s="9">
        <v>9485</v>
      </c>
      <c r="P31" s="10">
        <v>10810</v>
      </c>
      <c r="Q31" s="9">
        <v>135.5</v>
      </c>
      <c r="R31" s="9">
        <v>65</v>
      </c>
      <c r="S31" s="9">
        <v>903.2</v>
      </c>
      <c r="T31" s="10">
        <v>1414</v>
      </c>
      <c r="U31" s="9">
        <v>7510</v>
      </c>
      <c r="V31" s="9">
        <v>469.4</v>
      </c>
      <c r="W31" s="9">
        <v>24748000</v>
      </c>
      <c r="X31" s="10">
        <v>385100</v>
      </c>
      <c r="Y31" s="9">
        <v>11378.66</v>
      </c>
      <c r="Z31" s="9">
        <v>3347.51</v>
      </c>
      <c r="AA31" s="10">
        <v>3689.27</v>
      </c>
      <c r="AB31" s="9">
        <v>3367.12</v>
      </c>
      <c r="AC31" s="10">
        <v>3837.92</v>
      </c>
      <c r="AD31" s="9">
        <v>320.62</v>
      </c>
      <c r="AE31" s="10">
        <v>502.14</v>
      </c>
      <c r="AF31" s="9" t="s">
        <v>99</v>
      </c>
      <c r="AG31" s="10" t="s">
        <v>18</v>
      </c>
      <c r="AH31" s="9">
        <v>1</v>
      </c>
      <c r="AI31" s="9">
        <v>4</v>
      </c>
      <c r="AJ31" s="24">
        <v>1</v>
      </c>
    </row>
    <row r="32" spans="1:36" ht="33" x14ac:dyDescent="0.25">
      <c r="A32" s="26" t="s">
        <v>108</v>
      </c>
      <c r="B32" s="27" t="s">
        <v>83</v>
      </c>
      <c r="C32" s="28">
        <v>990</v>
      </c>
      <c r="D32" s="28">
        <v>300</v>
      </c>
      <c r="E32" s="28">
        <v>16.5</v>
      </c>
      <c r="F32" s="28">
        <v>31</v>
      </c>
      <c r="G32" s="29">
        <v>30</v>
      </c>
      <c r="H32" s="28">
        <v>272.3</v>
      </c>
      <c r="I32" s="28">
        <v>3.0950000000000002</v>
      </c>
      <c r="J32" s="28">
        <v>34685</v>
      </c>
      <c r="K32" s="28">
        <v>18456</v>
      </c>
      <c r="L32" s="29">
        <v>18600</v>
      </c>
      <c r="M32" s="28">
        <v>5538</v>
      </c>
      <c r="N32" s="28">
        <v>399.6</v>
      </c>
      <c r="O32" s="28">
        <v>11190</v>
      </c>
      <c r="P32" s="29">
        <v>12820</v>
      </c>
      <c r="Q32" s="28">
        <v>140</v>
      </c>
      <c r="R32" s="28">
        <v>63.5</v>
      </c>
      <c r="S32" s="28">
        <v>933.6</v>
      </c>
      <c r="T32" s="29">
        <v>1470</v>
      </c>
      <c r="U32" s="28">
        <v>8373</v>
      </c>
      <c r="V32" s="28">
        <v>507.5</v>
      </c>
      <c r="W32" s="28">
        <v>31834000</v>
      </c>
      <c r="X32" s="29">
        <v>444100</v>
      </c>
      <c r="Y32" s="28">
        <v>12313.02</v>
      </c>
      <c r="Z32" s="28">
        <v>3782.74</v>
      </c>
      <c r="AA32" s="29">
        <v>3812.24</v>
      </c>
      <c r="AB32" s="28">
        <v>3972.03</v>
      </c>
      <c r="AC32" s="29">
        <v>4552.6499999999996</v>
      </c>
      <c r="AD32" s="28">
        <v>331.44</v>
      </c>
      <c r="AE32" s="29">
        <v>521.75</v>
      </c>
      <c r="AF32" s="28" t="s">
        <v>99</v>
      </c>
      <c r="AG32" s="29" t="s">
        <v>18</v>
      </c>
      <c r="AH32" s="28">
        <v>1</v>
      </c>
      <c r="AI32" s="28">
        <v>4</v>
      </c>
      <c r="AJ32" s="30">
        <v>1</v>
      </c>
    </row>
  </sheetData>
  <mergeCells count="17">
    <mergeCell ref="AJ4:AJ7"/>
    <mergeCell ref="AB3:AC3"/>
    <mergeCell ref="AD3:AE3"/>
    <mergeCell ref="AF3:AG3"/>
    <mergeCell ref="AH3:AJ3"/>
    <mergeCell ref="AI4:AI7"/>
    <mergeCell ref="A4:A7"/>
    <mergeCell ref="B4:B7"/>
    <mergeCell ref="AF4:AF7"/>
    <mergeCell ref="AG4:AG7"/>
    <mergeCell ref="AH4:AH7"/>
    <mergeCell ref="Y3:AA3"/>
    <mergeCell ref="C3:G3"/>
    <mergeCell ref="H3:L3"/>
    <mergeCell ref="M3:P3"/>
    <mergeCell ref="Q3:T3"/>
    <mergeCell ref="U3:X3"/>
  </mergeCells>
  <hyperlinks>
    <hyperlink ref="B9" r:id="rId1" display="https://eurocodeapplied.com/download/en1993/flanged-profile-dxf/HEA100" xr:uid="{46BAF1EE-9615-45F4-9D44-A5B151E29E64}"/>
    <hyperlink ref="B10" r:id="rId2" display="https://eurocodeapplied.com/download/en1993/flanged-profile-dxf/HEA120" xr:uid="{7271FE46-7D66-491B-8C5E-FDC2B95CA884}"/>
    <hyperlink ref="B11" r:id="rId3" display="https://eurocodeapplied.com/download/en1993/flanged-profile-dxf/HEA140" xr:uid="{D8DE1F28-C88D-4B45-986A-0DE159730AA1}"/>
    <hyperlink ref="B12" r:id="rId4" display="https://eurocodeapplied.com/download/en1993/flanged-profile-dxf/HEA160" xr:uid="{509B6E89-D469-4FF0-9FD6-8BC99311A4A1}"/>
    <hyperlink ref="B13" r:id="rId5" display="https://eurocodeapplied.com/download/en1993/flanged-profile-dxf/HEA180" xr:uid="{FEA72CFB-26B2-44FD-8B2B-F145BAC4567F}"/>
    <hyperlink ref="B14" r:id="rId6" display="https://eurocodeapplied.com/download/en1993/flanged-profile-dxf/HEA200" xr:uid="{83E0B19C-756F-4590-A706-C7D9C4200A5C}"/>
    <hyperlink ref="B15" r:id="rId7" display="https://eurocodeapplied.com/download/en1993/flanged-profile-dxf/HEA220" xr:uid="{8D2C49DF-8C85-40A1-9BD6-A2E7569396C9}"/>
    <hyperlink ref="B16" r:id="rId8" display="https://eurocodeapplied.com/download/en1993/flanged-profile-dxf/HEA240" xr:uid="{F885A630-EAEB-4568-929E-10CD81615017}"/>
    <hyperlink ref="B17" r:id="rId9" display="https://eurocodeapplied.com/download/en1993/flanged-profile-dxf/HEA260" xr:uid="{29025EE4-325E-4127-AD30-9E196D8FDA45}"/>
    <hyperlink ref="B18" r:id="rId10" display="https://eurocodeapplied.com/download/en1993/flanged-profile-dxf/HEA280" xr:uid="{6E993F0E-641D-45A2-8D07-9526C6882FF1}"/>
    <hyperlink ref="B19" r:id="rId11" display="https://eurocodeapplied.com/download/en1993/flanged-profile-dxf/HEA300" xr:uid="{6D469950-2CB5-482B-88C1-F7526EF3104E}"/>
    <hyperlink ref="B20" r:id="rId12" display="https://eurocodeapplied.com/download/en1993/flanged-profile-dxf/HEA320" xr:uid="{4221A114-0DAD-4772-8B75-351D55DA2B1F}"/>
    <hyperlink ref="B21" r:id="rId13" display="https://eurocodeapplied.com/download/en1993/flanged-profile-dxf/HEA340" xr:uid="{235F6DB9-90F9-4886-80DC-F60F401A53FC}"/>
    <hyperlink ref="B22" r:id="rId14" display="https://eurocodeapplied.com/download/en1993/flanged-profile-dxf/HEA360" xr:uid="{C81AD6C7-C863-4BED-A4D1-9A404F51632C}"/>
    <hyperlink ref="B23" r:id="rId15" display="https://eurocodeapplied.com/download/en1993/flanged-profile-dxf/HEA400" xr:uid="{383EDF4B-9FFC-49A6-98E0-2D53D7370621}"/>
    <hyperlink ref="B24" r:id="rId16" display="https://eurocodeapplied.com/download/en1993/flanged-profile-dxf/HEA450" xr:uid="{2C6E7145-8ADD-4BB9-AF09-A7DED1A380EC}"/>
    <hyperlink ref="B25" r:id="rId17" display="https://eurocodeapplied.com/download/en1993/flanged-profile-dxf/HEA500" xr:uid="{6FDBF5B6-17F8-4614-A253-9E1648345C9E}"/>
    <hyperlink ref="B26" r:id="rId18" display="https://eurocodeapplied.com/download/en1993/flanged-profile-dxf/HEA550" xr:uid="{981AD06F-E962-447D-A12D-39168D2E5E02}"/>
    <hyperlink ref="B27" r:id="rId19" display="https://eurocodeapplied.com/download/en1993/flanged-profile-dxf/HEA600" xr:uid="{66CF08C9-26AA-4410-B1F2-CE25FC1CE918}"/>
    <hyperlink ref="B28" r:id="rId20" display="https://eurocodeapplied.com/download/en1993/flanged-profile-dxf/HEA650" xr:uid="{1E75DFDC-B920-4E3E-AB34-DDA112766F84}"/>
    <hyperlink ref="B29" r:id="rId21" display="https://eurocodeapplied.com/download/en1993/flanged-profile-dxf/HEA700" xr:uid="{A24A2922-15BA-4139-A1B5-7ECD44749F11}"/>
    <hyperlink ref="B30" r:id="rId22" display="https://eurocodeapplied.com/download/en1993/flanged-profile-dxf/HEA800" xr:uid="{48B4AE45-68A8-4996-9414-B5E941AB57E7}"/>
    <hyperlink ref="B31" r:id="rId23" display="https://eurocodeapplied.com/download/en1993/flanged-profile-dxf/HEA900" xr:uid="{93BF43F0-1A61-4C37-9018-BE6A353FF184}"/>
    <hyperlink ref="B32" r:id="rId24" display="https://eurocodeapplied.com/download/en1993/flanged-profile-dxf/HEA1000" xr:uid="{BC90933A-E7FD-4E57-9DA9-747057BBDE32}"/>
  </hyperlinks>
  <pageMargins left="0.7" right="0.7" top="0.75" bottom="0.75" header="0.3" footer="0.3"/>
  <pageSetup paperSize="9" orientation="portrait" r:id="rId25"/>
  <tableParts count="1">
    <tablePart r:id="rId2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B676-8E67-43FC-A501-09F7E1C27ACA}">
  <sheetPr codeName="Sheet5"/>
  <dimension ref="A1:AJ32"/>
  <sheetViews>
    <sheetView topLeftCell="A3" zoomScale="70" zoomScaleNormal="70" workbookViewId="0">
      <selection activeCell="E25" sqref="E25"/>
    </sheetView>
  </sheetViews>
  <sheetFormatPr defaultRowHeight="15" x14ac:dyDescent="0.25"/>
  <cols>
    <col min="1" max="1" width="11.7109375" customWidth="1"/>
    <col min="2" max="2" width="13.28515625" customWidth="1"/>
    <col min="28" max="31" width="9.5703125" customWidth="1"/>
    <col min="32" max="32" width="13.7109375" customWidth="1"/>
    <col min="33" max="33" width="13.5703125" customWidth="1"/>
    <col min="34" max="34" width="13.7109375" customWidth="1"/>
    <col min="35" max="35" width="13.5703125" customWidth="1"/>
    <col min="36" max="36" width="13.7109375" customWidth="1"/>
  </cols>
  <sheetData>
    <row r="1" spans="1:36" x14ac:dyDescent="0.25">
      <c r="A1" t="s">
        <v>0</v>
      </c>
    </row>
    <row r="2" spans="1:36" ht="225.75" thickBot="1" x14ac:dyDescent="0.3">
      <c r="A2" s="1" t="s">
        <v>145</v>
      </c>
    </row>
    <row r="3" spans="1:36" ht="33" customHeight="1" thickBot="1" x14ac:dyDescent="0.3">
      <c r="A3" s="2"/>
      <c r="B3" s="3"/>
      <c r="C3" s="69" t="s">
        <v>2</v>
      </c>
      <c r="D3" s="71"/>
      <c r="E3" s="71"/>
      <c r="F3" s="71"/>
      <c r="G3" s="70"/>
      <c r="H3" s="69" t="s">
        <v>3</v>
      </c>
      <c r="I3" s="71"/>
      <c r="J3" s="71"/>
      <c r="K3" s="71"/>
      <c r="L3" s="70"/>
      <c r="M3" s="69" t="s">
        <v>4</v>
      </c>
      <c r="N3" s="71"/>
      <c r="O3" s="71"/>
      <c r="P3" s="70"/>
      <c r="Q3" s="69" t="s">
        <v>5</v>
      </c>
      <c r="R3" s="71"/>
      <c r="S3" s="71"/>
      <c r="T3" s="70"/>
      <c r="U3" s="69" t="s">
        <v>6</v>
      </c>
      <c r="V3" s="71"/>
      <c r="W3" s="71"/>
      <c r="X3" s="70"/>
      <c r="Y3" s="69" t="s">
        <v>7</v>
      </c>
      <c r="Z3" s="71"/>
      <c r="AA3" s="70"/>
      <c r="AB3" s="69" t="s">
        <v>8</v>
      </c>
      <c r="AC3" s="70"/>
      <c r="AD3" s="69" t="s">
        <v>9</v>
      </c>
      <c r="AE3" s="70"/>
      <c r="AF3" s="69" t="s">
        <v>10</v>
      </c>
      <c r="AG3" s="70"/>
      <c r="AH3" s="69" t="s">
        <v>11</v>
      </c>
      <c r="AI3" s="71"/>
      <c r="AJ3" s="70"/>
    </row>
    <row r="4" spans="1:36" ht="147.75" customHeight="1" x14ac:dyDescent="0.25">
      <c r="A4" s="74" t="s">
        <v>12</v>
      </c>
      <c r="B4" s="74" t="s">
        <v>13</v>
      </c>
      <c r="C4" s="6" t="s">
        <v>14</v>
      </c>
      <c r="D4" s="6" t="s">
        <v>17</v>
      </c>
      <c r="E4" s="6" t="s">
        <v>19</v>
      </c>
      <c r="F4" s="6" t="s">
        <v>21</v>
      </c>
      <c r="G4" s="5" t="s">
        <v>23</v>
      </c>
      <c r="H4" s="6" t="s">
        <v>25</v>
      </c>
      <c r="I4" s="6" t="s">
        <v>28</v>
      </c>
      <c r="J4" s="6" t="s">
        <v>31</v>
      </c>
      <c r="K4" s="6" t="s">
        <v>34</v>
      </c>
      <c r="L4" s="5" t="s">
        <v>37</v>
      </c>
      <c r="M4" s="6" t="s">
        <v>39</v>
      </c>
      <c r="N4" s="6" t="s">
        <v>42</v>
      </c>
      <c r="O4" s="6" t="s">
        <v>44</v>
      </c>
      <c r="P4" s="5" t="s">
        <v>47</v>
      </c>
      <c r="Q4" s="6" t="s">
        <v>39</v>
      </c>
      <c r="R4" s="6" t="s">
        <v>42</v>
      </c>
      <c r="S4" s="6" t="s">
        <v>44</v>
      </c>
      <c r="T4" s="5" t="s">
        <v>47</v>
      </c>
      <c r="U4" s="6" t="s">
        <v>53</v>
      </c>
      <c r="V4" s="6" t="s">
        <v>56</v>
      </c>
      <c r="W4" s="6" t="s">
        <v>58</v>
      </c>
      <c r="X4" s="5" t="s">
        <v>61</v>
      </c>
      <c r="Y4" s="6" t="s">
        <v>63</v>
      </c>
      <c r="Z4" s="6" t="s">
        <v>66</v>
      </c>
      <c r="AA4" s="5" t="s">
        <v>68</v>
      </c>
      <c r="AB4" s="6" t="s">
        <v>70</v>
      </c>
      <c r="AC4" s="5" t="s">
        <v>73</v>
      </c>
      <c r="AD4" s="6" t="s">
        <v>70</v>
      </c>
      <c r="AE4" s="5" t="s">
        <v>73</v>
      </c>
      <c r="AF4" s="76" t="s">
        <v>77</v>
      </c>
      <c r="AG4" s="67" t="s">
        <v>78</v>
      </c>
      <c r="AH4" s="76" t="s">
        <v>79</v>
      </c>
      <c r="AI4" s="72" t="s">
        <v>80</v>
      </c>
      <c r="AJ4" s="67" t="s">
        <v>81</v>
      </c>
    </row>
    <row r="5" spans="1:36" ht="16.5" x14ac:dyDescent="0.25">
      <c r="A5" s="75"/>
      <c r="B5" s="75"/>
      <c r="C5" s="4" t="s">
        <v>15</v>
      </c>
      <c r="D5" s="4" t="s">
        <v>18</v>
      </c>
      <c r="E5" s="4" t="s">
        <v>20</v>
      </c>
      <c r="F5" s="4" t="s">
        <v>22</v>
      </c>
      <c r="G5" s="7" t="s">
        <v>24</v>
      </c>
      <c r="H5" s="4" t="s">
        <v>26</v>
      </c>
      <c r="I5" s="4" t="s">
        <v>29</v>
      </c>
      <c r="J5" s="4" t="s">
        <v>32</v>
      </c>
      <c r="K5" s="4" t="s">
        <v>35</v>
      </c>
      <c r="L5" s="7" t="s">
        <v>38</v>
      </c>
      <c r="M5" s="4" t="s">
        <v>40</v>
      </c>
      <c r="N5" s="4" t="s">
        <v>43</v>
      </c>
      <c r="O5" s="4" t="s">
        <v>45</v>
      </c>
      <c r="P5" s="7" t="s">
        <v>48</v>
      </c>
      <c r="Q5" s="4" t="s">
        <v>49</v>
      </c>
      <c r="R5" s="4" t="s">
        <v>50</v>
      </c>
      <c r="S5" s="4" t="s">
        <v>51</v>
      </c>
      <c r="T5" s="7" t="s">
        <v>52</v>
      </c>
      <c r="U5" s="4" t="s">
        <v>54</v>
      </c>
      <c r="V5" s="4" t="s">
        <v>57</v>
      </c>
      <c r="W5" s="4" t="s">
        <v>59</v>
      </c>
      <c r="X5" s="7" t="s">
        <v>62</v>
      </c>
      <c r="Y5" s="4" t="s">
        <v>64</v>
      </c>
      <c r="Z5" s="4" t="s">
        <v>67</v>
      </c>
      <c r="AA5" s="7" t="s">
        <v>69</v>
      </c>
      <c r="AB5" s="4" t="s">
        <v>71</v>
      </c>
      <c r="AC5" s="7" t="s">
        <v>74</v>
      </c>
      <c r="AD5" s="4" t="s">
        <v>75</v>
      </c>
      <c r="AE5" s="7" t="s">
        <v>76</v>
      </c>
      <c r="AF5" s="77"/>
      <c r="AG5" s="68"/>
      <c r="AH5" s="77"/>
      <c r="AI5" s="73"/>
      <c r="AJ5" s="68"/>
    </row>
    <row r="6" spans="1:36" ht="33" x14ac:dyDescent="0.25">
      <c r="A6" s="75"/>
      <c r="B6" s="75"/>
      <c r="C6" s="4" t="s">
        <v>16</v>
      </c>
      <c r="D6" s="4" t="s">
        <v>16</v>
      </c>
      <c r="E6" s="4" t="s">
        <v>16</v>
      </c>
      <c r="F6" s="4" t="s">
        <v>16</v>
      </c>
      <c r="G6" s="7" t="s">
        <v>16</v>
      </c>
      <c r="H6" s="4" t="s">
        <v>27</v>
      </c>
      <c r="I6" s="4" t="s">
        <v>30</v>
      </c>
      <c r="J6" s="4" t="s">
        <v>33</v>
      </c>
      <c r="K6" s="4" t="s">
        <v>33</v>
      </c>
      <c r="L6" s="7" t="s">
        <v>33</v>
      </c>
      <c r="M6" s="4" t="s">
        <v>41</v>
      </c>
      <c r="N6" s="4" t="s">
        <v>16</v>
      </c>
      <c r="O6" s="4" t="s">
        <v>46</v>
      </c>
      <c r="P6" s="7" t="s">
        <v>46</v>
      </c>
      <c r="Q6" s="4" t="s">
        <v>41</v>
      </c>
      <c r="R6" s="4" t="s">
        <v>16</v>
      </c>
      <c r="S6" s="4" t="s">
        <v>46</v>
      </c>
      <c r="T6" s="7" t="s">
        <v>46</v>
      </c>
      <c r="U6" s="4" t="s">
        <v>55</v>
      </c>
      <c r="V6" s="4" t="s">
        <v>46</v>
      </c>
      <c r="W6" s="4" t="s">
        <v>60</v>
      </c>
      <c r="X6" s="7" t="s">
        <v>55</v>
      </c>
      <c r="Y6" s="4" t="s">
        <v>65</v>
      </c>
      <c r="Z6" s="4" t="s">
        <v>65</v>
      </c>
      <c r="AA6" s="7" t="s">
        <v>65</v>
      </c>
      <c r="AB6" s="4" t="s">
        <v>72</v>
      </c>
      <c r="AC6" s="7" t="s">
        <v>72</v>
      </c>
      <c r="AD6" s="4" t="s">
        <v>72</v>
      </c>
      <c r="AE6" s="7" t="s">
        <v>72</v>
      </c>
      <c r="AF6" s="77"/>
      <c r="AG6" s="68"/>
      <c r="AH6" s="77"/>
      <c r="AI6" s="73"/>
      <c r="AJ6" s="68"/>
    </row>
    <row r="7" spans="1:36" ht="33" x14ac:dyDescent="0.25">
      <c r="A7" s="75"/>
      <c r="B7" s="75"/>
      <c r="C7" s="4"/>
      <c r="D7" s="4"/>
      <c r="E7" s="4"/>
      <c r="F7" s="4"/>
      <c r="G7" s="7"/>
      <c r="H7" s="4"/>
      <c r="I7" s="4"/>
      <c r="J7" s="4"/>
      <c r="K7" s="4" t="s">
        <v>36</v>
      </c>
      <c r="L7" s="7"/>
      <c r="M7" s="4"/>
      <c r="N7" s="4"/>
      <c r="O7" s="4"/>
      <c r="P7" s="7"/>
      <c r="Q7" s="4"/>
      <c r="R7" s="4"/>
      <c r="S7" s="4"/>
      <c r="T7" s="7"/>
      <c r="U7" s="4"/>
      <c r="V7" s="4"/>
      <c r="W7" s="4"/>
      <c r="X7" s="7"/>
      <c r="Y7" s="4"/>
      <c r="Z7" s="4"/>
      <c r="AA7" s="7"/>
      <c r="AB7" s="4"/>
      <c r="AC7" s="7"/>
      <c r="AD7" s="4"/>
      <c r="AE7" s="7"/>
      <c r="AF7" s="77"/>
      <c r="AG7" s="68"/>
      <c r="AH7" s="77"/>
      <c r="AI7" s="73"/>
      <c r="AJ7" s="68"/>
    </row>
    <row r="8" spans="1:36" ht="17.25" thickBot="1" x14ac:dyDescent="0.3">
      <c r="A8" s="7" t="s">
        <v>12</v>
      </c>
      <c r="B8" s="7" t="s">
        <v>172</v>
      </c>
      <c r="C8" s="4" t="s">
        <v>15</v>
      </c>
      <c r="D8" s="4" t="s">
        <v>18</v>
      </c>
      <c r="E8" s="4" t="s">
        <v>109</v>
      </c>
      <c r="F8" s="4" t="s">
        <v>110</v>
      </c>
      <c r="G8" s="7" t="s">
        <v>24</v>
      </c>
      <c r="H8" s="4" t="s">
        <v>26</v>
      </c>
      <c r="I8" s="4" t="s">
        <v>29</v>
      </c>
      <c r="J8" s="4" t="s">
        <v>32</v>
      </c>
      <c r="K8" s="4" t="s">
        <v>111</v>
      </c>
      <c r="L8" s="7" t="s">
        <v>38</v>
      </c>
      <c r="M8" s="4" t="s">
        <v>40</v>
      </c>
      <c r="N8" s="4" t="s">
        <v>173</v>
      </c>
      <c r="O8" s="4" t="s">
        <v>45</v>
      </c>
      <c r="P8" s="7" t="s">
        <v>48</v>
      </c>
      <c r="Q8" s="4" t="s">
        <v>49</v>
      </c>
      <c r="R8" s="4" t="s">
        <v>174</v>
      </c>
      <c r="S8" s="4" t="s">
        <v>51</v>
      </c>
      <c r="T8" s="7" t="s">
        <v>52</v>
      </c>
      <c r="U8" s="4" t="s">
        <v>54</v>
      </c>
      <c r="V8" s="4" t="s">
        <v>57</v>
      </c>
      <c r="W8" s="4" t="s">
        <v>59</v>
      </c>
      <c r="X8" s="7" t="s">
        <v>62</v>
      </c>
      <c r="Y8" s="4" t="s">
        <v>64</v>
      </c>
      <c r="Z8" s="4" t="s">
        <v>67</v>
      </c>
      <c r="AA8" s="7" t="s">
        <v>69</v>
      </c>
      <c r="AB8" s="4" t="s">
        <v>71</v>
      </c>
      <c r="AC8" s="7" t="s">
        <v>74</v>
      </c>
      <c r="AD8" s="4" t="s">
        <v>75</v>
      </c>
      <c r="AE8" s="7" t="s">
        <v>76</v>
      </c>
      <c r="AF8" s="4" t="s">
        <v>175</v>
      </c>
      <c r="AG8" s="7" t="s">
        <v>176</v>
      </c>
      <c r="AH8" s="4" t="s">
        <v>177</v>
      </c>
      <c r="AI8" s="4" t="s">
        <v>178</v>
      </c>
      <c r="AJ8" s="4" t="s">
        <v>179</v>
      </c>
    </row>
    <row r="9" spans="1:36" ht="17.25" thickBot="1" x14ac:dyDescent="0.3">
      <c r="A9" s="22" t="s">
        <v>146</v>
      </c>
      <c r="B9" s="8" t="s">
        <v>83</v>
      </c>
      <c r="C9" s="9">
        <v>100</v>
      </c>
      <c r="D9" s="9">
        <v>100</v>
      </c>
      <c r="E9" s="9">
        <v>6</v>
      </c>
      <c r="F9" s="9">
        <v>10</v>
      </c>
      <c r="G9" s="10">
        <v>12</v>
      </c>
      <c r="H9" s="9">
        <v>20.399999999999999</v>
      </c>
      <c r="I9" s="9">
        <v>0.56699999999999995</v>
      </c>
      <c r="J9" s="9">
        <v>2604</v>
      </c>
      <c r="K9" s="9">
        <v>904</v>
      </c>
      <c r="L9" s="10">
        <v>2000</v>
      </c>
      <c r="M9" s="9">
        <v>4.4950000000000001</v>
      </c>
      <c r="N9" s="9">
        <v>41.6</v>
      </c>
      <c r="O9" s="9">
        <v>89.91</v>
      </c>
      <c r="P9" s="10">
        <v>104.2</v>
      </c>
      <c r="Q9" s="9">
        <v>1.673</v>
      </c>
      <c r="R9" s="9">
        <v>25.3</v>
      </c>
      <c r="S9" s="9">
        <v>33.450000000000003</v>
      </c>
      <c r="T9" s="10">
        <v>51.42</v>
      </c>
      <c r="U9" s="9">
        <v>93.09</v>
      </c>
      <c r="V9" s="9">
        <v>15.52</v>
      </c>
      <c r="W9" s="9">
        <v>3233</v>
      </c>
      <c r="X9" s="10">
        <v>1462</v>
      </c>
      <c r="Y9" s="9">
        <v>924.28</v>
      </c>
      <c r="Z9" s="9">
        <v>185.2</v>
      </c>
      <c r="AA9" s="10">
        <v>409.92</v>
      </c>
      <c r="AB9" s="9">
        <v>31.92</v>
      </c>
      <c r="AC9" s="10">
        <v>37</v>
      </c>
      <c r="AD9" s="9">
        <v>11.88</v>
      </c>
      <c r="AE9" s="10">
        <v>18.25</v>
      </c>
      <c r="AF9" s="9" t="s">
        <v>18</v>
      </c>
      <c r="AG9" s="10" t="s">
        <v>84</v>
      </c>
      <c r="AH9" s="9">
        <v>1</v>
      </c>
      <c r="AI9" s="9">
        <v>1</v>
      </c>
      <c r="AJ9" s="24">
        <v>1</v>
      </c>
    </row>
    <row r="10" spans="1:36" ht="17.25" thickBot="1" x14ac:dyDescent="0.3">
      <c r="A10" s="23" t="s">
        <v>147</v>
      </c>
      <c r="B10" s="11" t="s">
        <v>83</v>
      </c>
      <c r="C10" s="12">
        <v>120</v>
      </c>
      <c r="D10" s="12">
        <v>120</v>
      </c>
      <c r="E10" s="12">
        <v>6.5</v>
      </c>
      <c r="F10" s="12">
        <v>11</v>
      </c>
      <c r="G10" s="13">
        <v>12</v>
      </c>
      <c r="H10" s="12">
        <v>26.7</v>
      </c>
      <c r="I10" s="12">
        <v>0.68600000000000005</v>
      </c>
      <c r="J10" s="12">
        <v>3401</v>
      </c>
      <c r="K10" s="12">
        <v>1096</v>
      </c>
      <c r="L10" s="13">
        <v>2640</v>
      </c>
      <c r="M10" s="12">
        <v>8.6440000000000001</v>
      </c>
      <c r="N10" s="12">
        <v>50.4</v>
      </c>
      <c r="O10" s="12">
        <v>144.1</v>
      </c>
      <c r="P10" s="13">
        <v>165.2</v>
      </c>
      <c r="Q10" s="12">
        <v>3.1749999999999998</v>
      </c>
      <c r="R10" s="12">
        <v>30.6</v>
      </c>
      <c r="S10" s="12">
        <v>52.92</v>
      </c>
      <c r="T10" s="13">
        <v>80.97</v>
      </c>
      <c r="U10" s="12">
        <v>139.4</v>
      </c>
      <c r="V10" s="12">
        <v>21.45</v>
      </c>
      <c r="W10" s="12">
        <v>9125</v>
      </c>
      <c r="X10" s="13">
        <v>2824</v>
      </c>
      <c r="Y10" s="12">
        <v>1207.22</v>
      </c>
      <c r="Z10" s="12">
        <v>224.66</v>
      </c>
      <c r="AA10" s="13">
        <v>541.09</v>
      </c>
      <c r="AB10" s="12">
        <v>51.14</v>
      </c>
      <c r="AC10" s="13">
        <v>58.65</v>
      </c>
      <c r="AD10" s="12">
        <v>18.79</v>
      </c>
      <c r="AE10" s="13">
        <v>28.74</v>
      </c>
      <c r="AF10" s="12" t="s">
        <v>18</v>
      </c>
      <c r="AG10" s="13" t="s">
        <v>84</v>
      </c>
      <c r="AH10" s="12">
        <v>1</v>
      </c>
      <c r="AI10" s="12">
        <v>1</v>
      </c>
      <c r="AJ10" s="25">
        <v>1</v>
      </c>
    </row>
    <row r="11" spans="1:36" ht="17.25" thickBot="1" x14ac:dyDescent="0.3">
      <c r="A11" s="22" t="s">
        <v>148</v>
      </c>
      <c r="B11" s="8" t="s">
        <v>83</v>
      </c>
      <c r="C11" s="9">
        <v>140</v>
      </c>
      <c r="D11" s="9">
        <v>140</v>
      </c>
      <c r="E11" s="9">
        <v>7</v>
      </c>
      <c r="F11" s="9">
        <v>12</v>
      </c>
      <c r="G11" s="10">
        <v>12</v>
      </c>
      <c r="H11" s="9">
        <v>33.700000000000003</v>
      </c>
      <c r="I11" s="9">
        <v>0.80500000000000005</v>
      </c>
      <c r="J11" s="9">
        <v>4296</v>
      </c>
      <c r="K11" s="9">
        <v>1308</v>
      </c>
      <c r="L11" s="10">
        <v>3360</v>
      </c>
      <c r="M11" s="9">
        <v>15.09</v>
      </c>
      <c r="N11" s="9">
        <v>59.3</v>
      </c>
      <c r="O11" s="9">
        <v>215.6</v>
      </c>
      <c r="P11" s="10">
        <v>245.4</v>
      </c>
      <c r="Q11" s="9">
        <v>5.4969999999999999</v>
      </c>
      <c r="R11" s="9">
        <v>35.799999999999997</v>
      </c>
      <c r="S11" s="9">
        <v>78.52</v>
      </c>
      <c r="T11" s="10">
        <v>119.8</v>
      </c>
      <c r="U11" s="9">
        <v>202</v>
      </c>
      <c r="V11" s="9">
        <v>28.86</v>
      </c>
      <c r="W11" s="9">
        <v>21965</v>
      </c>
      <c r="X11" s="10">
        <v>4948</v>
      </c>
      <c r="Y11" s="9">
        <v>1524.94</v>
      </c>
      <c r="Z11" s="9">
        <v>268.01</v>
      </c>
      <c r="AA11" s="10">
        <v>688.66</v>
      </c>
      <c r="AB11" s="9">
        <v>76.540000000000006</v>
      </c>
      <c r="AC11" s="10">
        <v>87.13</v>
      </c>
      <c r="AD11" s="9">
        <v>27.88</v>
      </c>
      <c r="AE11" s="10">
        <v>42.52</v>
      </c>
      <c r="AF11" s="9" t="s">
        <v>18</v>
      </c>
      <c r="AG11" s="10" t="s">
        <v>84</v>
      </c>
      <c r="AH11" s="9">
        <v>1</v>
      </c>
      <c r="AI11" s="9">
        <v>1</v>
      </c>
      <c r="AJ11" s="24">
        <v>1</v>
      </c>
    </row>
    <row r="12" spans="1:36" ht="17.25" thickBot="1" x14ac:dyDescent="0.3">
      <c r="A12" s="23" t="s">
        <v>149</v>
      </c>
      <c r="B12" s="11" t="s">
        <v>83</v>
      </c>
      <c r="C12" s="12">
        <v>160</v>
      </c>
      <c r="D12" s="12">
        <v>160</v>
      </c>
      <c r="E12" s="12">
        <v>8</v>
      </c>
      <c r="F12" s="12">
        <v>13</v>
      </c>
      <c r="G12" s="13">
        <v>15</v>
      </c>
      <c r="H12" s="12">
        <v>42.6</v>
      </c>
      <c r="I12" s="12">
        <v>0.91800000000000004</v>
      </c>
      <c r="J12" s="12">
        <v>5425</v>
      </c>
      <c r="K12" s="12">
        <v>1759</v>
      </c>
      <c r="L12" s="13">
        <v>4160</v>
      </c>
      <c r="M12" s="12">
        <v>24.92</v>
      </c>
      <c r="N12" s="12">
        <v>67.8</v>
      </c>
      <c r="O12" s="12">
        <v>311.5</v>
      </c>
      <c r="P12" s="13">
        <v>354</v>
      </c>
      <c r="Q12" s="12">
        <v>8.8919999999999995</v>
      </c>
      <c r="R12" s="12">
        <v>40.5</v>
      </c>
      <c r="S12" s="12">
        <v>111.2</v>
      </c>
      <c r="T12" s="13">
        <v>170</v>
      </c>
      <c r="U12" s="12">
        <v>312.39999999999998</v>
      </c>
      <c r="V12" s="12">
        <v>39.049999999999997</v>
      </c>
      <c r="W12" s="12">
        <v>46667</v>
      </c>
      <c r="X12" s="13">
        <v>8020</v>
      </c>
      <c r="Y12" s="12">
        <v>1925.93</v>
      </c>
      <c r="Z12" s="12">
        <v>360.55</v>
      </c>
      <c r="AA12" s="13">
        <v>852.63</v>
      </c>
      <c r="AB12" s="12">
        <v>110.58</v>
      </c>
      <c r="AC12" s="13">
        <v>125.66</v>
      </c>
      <c r="AD12" s="12">
        <v>39.46</v>
      </c>
      <c r="AE12" s="13">
        <v>60.34</v>
      </c>
      <c r="AF12" s="12" t="s">
        <v>18</v>
      </c>
      <c r="AG12" s="13" t="s">
        <v>84</v>
      </c>
      <c r="AH12" s="12">
        <v>1</v>
      </c>
      <c r="AI12" s="12">
        <v>1</v>
      </c>
      <c r="AJ12" s="25">
        <v>1</v>
      </c>
    </row>
    <row r="13" spans="1:36" ht="17.25" thickBot="1" x14ac:dyDescent="0.3">
      <c r="A13" s="22" t="s">
        <v>150</v>
      </c>
      <c r="B13" s="8" t="s">
        <v>83</v>
      </c>
      <c r="C13" s="9">
        <v>180</v>
      </c>
      <c r="D13" s="9">
        <v>180</v>
      </c>
      <c r="E13" s="9">
        <v>8.5</v>
      </c>
      <c r="F13" s="9">
        <v>14</v>
      </c>
      <c r="G13" s="10">
        <v>15</v>
      </c>
      <c r="H13" s="9">
        <v>51.2</v>
      </c>
      <c r="I13" s="9">
        <v>1.0369999999999999</v>
      </c>
      <c r="J13" s="9">
        <v>6525</v>
      </c>
      <c r="K13" s="9">
        <v>2024</v>
      </c>
      <c r="L13" s="10">
        <v>5040</v>
      </c>
      <c r="M13" s="9">
        <v>38.31</v>
      </c>
      <c r="N13" s="9">
        <v>76.599999999999994</v>
      </c>
      <c r="O13" s="9">
        <v>425.7</v>
      </c>
      <c r="P13" s="10">
        <v>481.4</v>
      </c>
      <c r="Q13" s="9">
        <v>13.63</v>
      </c>
      <c r="R13" s="9">
        <v>45.7</v>
      </c>
      <c r="S13" s="9">
        <v>151.4</v>
      </c>
      <c r="T13" s="10">
        <v>231</v>
      </c>
      <c r="U13" s="9">
        <v>422.4</v>
      </c>
      <c r="V13" s="9">
        <v>49.69</v>
      </c>
      <c r="W13" s="9">
        <v>91728</v>
      </c>
      <c r="X13" s="10">
        <v>12380</v>
      </c>
      <c r="Y13" s="9">
        <v>2316.4299999999998</v>
      </c>
      <c r="Z13" s="9">
        <v>414.87</v>
      </c>
      <c r="AA13" s="10">
        <v>1033</v>
      </c>
      <c r="AB13" s="9">
        <v>151.12</v>
      </c>
      <c r="AC13" s="10">
        <v>170.91</v>
      </c>
      <c r="AD13" s="9">
        <v>53.76</v>
      </c>
      <c r="AE13" s="10">
        <v>82.01</v>
      </c>
      <c r="AF13" s="9" t="s">
        <v>18</v>
      </c>
      <c r="AG13" s="10" t="s">
        <v>84</v>
      </c>
      <c r="AH13" s="9">
        <v>1</v>
      </c>
      <c r="AI13" s="9">
        <v>1</v>
      </c>
      <c r="AJ13" s="24">
        <v>1</v>
      </c>
    </row>
    <row r="14" spans="1:36" ht="17.25" thickBot="1" x14ac:dyDescent="0.3">
      <c r="A14" s="23" t="s">
        <v>151</v>
      </c>
      <c r="B14" s="11" t="s">
        <v>83</v>
      </c>
      <c r="C14" s="12">
        <v>200</v>
      </c>
      <c r="D14" s="12">
        <v>200</v>
      </c>
      <c r="E14" s="12">
        <v>9</v>
      </c>
      <c r="F14" s="12">
        <v>15</v>
      </c>
      <c r="G14" s="13">
        <v>18</v>
      </c>
      <c r="H14" s="12">
        <v>61.3</v>
      </c>
      <c r="I14" s="12">
        <v>1.151</v>
      </c>
      <c r="J14" s="12">
        <v>7808</v>
      </c>
      <c r="K14" s="12">
        <v>2483</v>
      </c>
      <c r="L14" s="13">
        <v>6000</v>
      </c>
      <c r="M14" s="12">
        <v>56.96</v>
      </c>
      <c r="N14" s="12">
        <v>85.4</v>
      </c>
      <c r="O14" s="12">
        <v>569.6</v>
      </c>
      <c r="P14" s="13">
        <v>642.5</v>
      </c>
      <c r="Q14" s="12">
        <v>20.03</v>
      </c>
      <c r="R14" s="12">
        <v>50.7</v>
      </c>
      <c r="S14" s="12">
        <v>200.3</v>
      </c>
      <c r="T14" s="13">
        <v>305.8</v>
      </c>
      <c r="U14" s="12">
        <v>595.9</v>
      </c>
      <c r="V14" s="12">
        <v>66.209999999999994</v>
      </c>
      <c r="W14" s="12">
        <v>167060</v>
      </c>
      <c r="X14" s="13">
        <v>18230</v>
      </c>
      <c r="Y14" s="12">
        <v>2771.88</v>
      </c>
      <c r="Z14" s="12">
        <v>508.94</v>
      </c>
      <c r="AA14" s="13">
        <v>1229.76</v>
      </c>
      <c r="AB14" s="12">
        <v>202.21</v>
      </c>
      <c r="AC14" s="13">
        <v>228.1</v>
      </c>
      <c r="AD14" s="12">
        <v>71.12</v>
      </c>
      <c r="AE14" s="13">
        <v>108.56</v>
      </c>
      <c r="AF14" s="12" t="s">
        <v>18</v>
      </c>
      <c r="AG14" s="13" t="s">
        <v>84</v>
      </c>
      <c r="AH14" s="12">
        <v>1</v>
      </c>
      <c r="AI14" s="12">
        <v>1</v>
      </c>
      <c r="AJ14" s="25">
        <v>1</v>
      </c>
    </row>
    <row r="15" spans="1:36" ht="17.25" thickBot="1" x14ac:dyDescent="0.3">
      <c r="A15" s="22" t="s">
        <v>152</v>
      </c>
      <c r="B15" s="8" t="s">
        <v>83</v>
      </c>
      <c r="C15" s="9">
        <v>220</v>
      </c>
      <c r="D15" s="9">
        <v>220</v>
      </c>
      <c r="E15" s="9">
        <v>9.5</v>
      </c>
      <c r="F15" s="9">
        <v>16</v>
      </c>
      <c r="G15" s="10">
        <v>18</v>
      </c>
      <c r="H15" s="9">
        <v>71.5</v>
      </c>
      <c r="I15" s="9">
        <v>1.27</v>
      </c>
      <c r="J15" s="9">
        <v>9104</v>
      </c>
      <c r="K15" s="9">
        <v>2792</v>
      </c>
      <c r="L15" s="10">
        <v>7040</v>
      </c>
      <c r="M15" s="9">
        <v>80.91</v>
      </c>
      <c r="N15" s="9">
        <v>94.3</v>
      </c>
      <c r="O15" s="9">
        <v>735.5</v>
      </c>
      <c r="P15" s="10">
        <v>827</v>
      </c>
      <c r="Q15" s="9">
        <v>28.43</v>
      </c>
      <c r="R15" s="9">
        <v>55.9</v>
      </c>
      <c r="S15" s="9">
        <v>258.5</v>
      </c>
      <c r="T15" s="10">
        <v>393.9</v>
      </c>
      <c r="U15" s="9">
        <v>770.2</v>
      </c>
      <c r="V15" s="9">
        <v>81.069999999999993</v>
      </c>
      <c r="W15" s="9">
        <v>289510</v>
      </c>
      <c r="X15" s="10">
        <v>26010</v>
      </c>
      <c r="Y15" s="9">
        <v>3231.96</v>
      </c>
      <c r="Z15" s="9">
        <v>572.27</v>
      </c>
      <c r="AA15" s="10">
        <v>1442.91</v>
      </c>
      <c r="AB15" s="9">
        <v>261.12</v>
      </c>
      <c r="AC15" s="10">
        <v>293.60000000000002</v>
      </c>
      <c r="AD15" s="9">
        <v>91.76</v>
      </c>
      <c r="AE15" s="10">
        <v>139.83000000000001</v>
      </c>
      <c r="AF15" s="9" t="s">
        <v>18</v>
      </c>
      <c r="AG15" s="10" t="s">
        <v>84</v>
      </c>
      <c r="AH15" s="9">
        <v>1</v>
      </c>
      <c r="AI15" s="9">
        <v>1</v>
      </c>
      <c r="AJ15" s="24">
        <v>1</v>
      </c>
    </row>
    <row r="16" spans="1:36" ht="17.25" thickBot="1" x14ac:dyDescent="0.3">
      <c r="A16" s="23" t="s">
        <v>153</v>
      </c>
      <c r="B16" s="11" t="s">
        <v>83</v>
      </c>
      <c r="C16" s="12">
        <v>240</v>
      </c>
      <c r="D16" s="12">
        <v>240</v>
      </c>
      <c r="E16" s="12">
        <v>10</v>
      </c>
      <c r="F16" s="12">
        <v>17</v>
      </c>
      <c r="G16" s="13">
        <v>21</v>
      </c>
      <c r="H16" s="12">
        <v>83.2</v>
      </c>
      <c r="I16" s="12">
        <v>1.3839999999999999</v>
      </c>
      <c r="J16" s="12">
        <v>10599</v>
      </c>
      <c r="K16" s="12">
        <v>3323</v>
      </c>
      <c r="L16" s="13">
        <v>8160</v>
      </c>
      <c r="M16" s="12">
        <v>112.6</v>
      </c>
      <c r="N16" s="12">
        <v>103.1</v>
      </c>
      <c r="O16" s="12">
        <v>938.3</v>
      </c>
      <c r="P16" s="13">
        <v>1053</v>
      </c>
      <c r="Q16" s="12">
        <v>39.229999999999997</v>
      </c>
      <c r="R16" s="12">
        <v>60.8</v>
      </c>
      <c r="S16" s="12">
        <v>326.89999999999998</v>
      </c>
      <c r="T16" s="13">
        <v>498.4</v>
      </c>
      <c r="U16" s="12">
        <v>1036</v>
      </c>
      <c r="V16" s="12">
        <v>103.6</v>
      </c>
      <c r="W16" s="12">
        <v>476280</v>
      </c>
      <c r="X16" s="13">
        <v>35890</v>
      </c>
      <c r="Y16" s="12">
        <v>3762.49</v>
      </c>
      <c r="Z16" s="12">
        <v>680.99</v>
      </c>
      <c r="AA16" s="13">
        <v>1672.47</v>
      </c>
      <c r="AB16" s="12">
        <v>333.09</v>
      </c>
      <c r="AC16" s="13">
        <v>373.87</v>
      </c>
      <c r="AD16" s="12">
        <v>116.05</v>
      </c>
      <c r="AE16" s="13">
        <v>176.94</v>
      </c>
      <c r="AF16" s="12" t="s">
        <v>18</v>
      </c>
      <c r="AG16" s="13" t="s">
        <v>84</v>
      </c>
      <c r="AH16" s="12">
        <v>1</v>
      </c>
      <c r="AI16" s="12">
        <v>1</v>
      </c>
      <c r="AJ16" s="25">
        <v>1</v>
      </c>
    </row>
    <row r="17" spans="1:36" ht="17.25" thickBot="1" x14ac:dyDescent="0.3">
      <c r="A17" s="22" t="s">
        <v>154</v>
      </c>
      <c r="B17" s="8" t="s">
        <v>83</v>
      </c>
      <c r="C17" s="9">
        <v>260</v>
      </c>
      <c r="D17" s="9">
        <v>260</v>
      </c>
      <c r="E17" s="9">
        <v>10</v>
      </c>
      <c r="F17" s="9">
        <v>17.5</v>
      </c>
      <c r="G17" s="10">
        <v>24</v>
      </c>
      <c r="H17" s="9">
        <v>93</v>
      </c>
      <c r="I17" s="9">
        <v>1.4990000000000001</v>
      </c>
      <c r="J17" s="9">
        <v>11844</v>
      </c>
      <c r="K17" s="9">
        <v>3759</v>
      </c>
      <c r="L17" s="10">
        <v>9100</v>
      </c>
      <c r="M17" s="9">
        <v>149.19999999999999</v>
      </c>
      <c r="N17" s="9">
        <v>112.2</v>
      </c>
      <c r="O17" s="9">
        <v>1148</v>
      </c>
      <c r="P17" s="10">
        <v>1283</v>
      </c>
      <c r="Q17" s="9">
        <v>51.35</v>
      </c>
      <c r="R17" s="9">
        <v>65.8</v>
      </c>
      <c r="S17" s="9">
        <v>395</v>
      </c>
      <c r="T17" s="10">
        <v>602.20000000000005</v>
      </c>
      <c r="U17" s="9">
        <v>1257</v>
      </c>
      <c r="V17" s="9">
        <v>125.7</v>
      </c>
      <c r="W17" s="9">
        <v>736280</v>
      </c>
      <c r="X17" s="10">
        <v>47140</v>
      </c>
      <c r="Y17" s="9">
        <v>4204.78</v>
      </c>
      <c r="Z17" s="9">
        <v>770.53</v>
      </c>
      <c r="AA17" s="10">
        <v>1865.13</v>
      </c>
      <c r="AB17" s="9">
        <v>407.42</v>
      </c>
      <c r="AC17" s="10">
        <v>455.43</v>
      </c>
      <c r="AD17" s="9">
        <v>140.21</v>
      </c>
      <c r="AE17" s="10">
        <v>213.8</v>
      </c>
      <c r="AF17" s="9" t="s">
        <v>18</v>
      </c>
      <c r="AG17" s="10" t="s">
        <v>84</v>
      </c>
      <c r="AH17" s="9">
        <v>1</v>
      </c>
      <c r="AI17" s="9">
        <v>1</v>
      </c>
      <c r="AJ17" s="24">
        <v>1</v>
      </c>
    </row>
    <row r="18" spans="1:36" ht="17.25" thickBot="1" x14ac:dyDescent="0.3">
      <c r="A18" s="23" t="s">
        <v>155</v>
      </c>
      <c r="B18" s="11" t="s">
        <v>83</v>
      </c>
      <c r="C18" s="12">
        <v>280</v>
      </c>
      <c r="D18" s="12">
        <v>280</v>
      </c>
      <c r="E18" s="12">
        <v>10.5</v>
      </c>
      <c r="F18" s="12">
        <v>18</v>
      </c>
      <c r="G18" s="13">
        <v>24</v>
      </c>
      <c r="H18" s="12">
        <v>103.1</v>
      </c>
      <c r="I18" s="12">
        <v>1.6180000000000001</v>
      </c>
      <c r="J18" s="12">
        <v>13136</v>
      </c>
      <c r="K18" s="12">
        <v>4109</v>
      </c>
      <c r="L18" s="13">
        <v>10080</v>
      </c>
      <c r="M18" s="12">
        <v>192.7</v>
      </c>
      <c r="N18" s="12">
        <v>121.1</v>
      </c>
      <c r="O18" s="12">
        <v>1376</v>
      </c>
      <c r="P18" s="13">
        <v>1534</v>
      </c>
      <c r="Q18" s="12">
        <v>65.95</v>
      </c>
      <c r="R18" s="12">
        <v>70.900000000000006</v>
      </c>
      <c r="S18" s="12">
        <v>471</v>
      </c>
      <c r="T18" s="13">
        <v>717.6</v>
      </c>
      <c r="U18" s="12">
        <v>1453</v>
      </c>
      <c r="V18" s="12">
        <v>138.4</v>
      </c>
      <c r="W18" s="12">
        <v>1107200</v>
      </c>
      <c r="X18" s="13">
        <v>60840</v>
      </c>
      <c r="Y18" s="12">
        <v>4663.4399999999996</v>
      </c>
      <c r="Z18" s="12">
        <v>842.27</v>
      </c>
      <c r="AA18" s="13">
        <v>2065.9899999999998</v>
      </c>
      <c r="AB18" s="12">
        <v>488.64</v>
      </c>
      <c r="AC18" s="13">
        <v>544.72</v>
      </c>
      <c r="AD18" s="12">
        <v>167.22</v>
      </c>
      <c r="AE18" s="13">
        <v>254.74</v>
      </c>
      <c r="AF18" s="12" t="s">
        <v>18</v>
      </c>
      <c r="AG18" s="13" t="s">
        <v>84</v>
      </c>
      <c r="AH18" s="12">
        <v>1</v>
      </c>
      <c r="AI18" s="12">
        <v>1</v>
      </c>
      <c r="AJ18" s="25">
        <v>1</v>
      </c>
    </row>
    <row r="19" spans="1:36" ht="17.25" thickBot="1" x14ac:dyDescent="0.3">
      <c r="A19" s="22" t="s">
        <v>156</v>
      </c>
      <c r="B19" s="8" t="s">
        <v>83</v>
      </c>
      <c r="C19" s="9">
        <v>300</v>
      </c>
      <c r="D19" s="9">
        <v>300</v>
      </c>
      <c r="E19" s="9">
        <v>11</v>
      </c>
      <c r="F19" s="9">
        <v>19</v>
      </c>
      <c r="G19" s="10">
        <v>27</v>
      </c>
      <c r="H19" s="9">
        <v>117</v>
      </c>
      <c r="I19" s="9">
        <v>1.732</v>
      </c>
      <c r="J19" s="9">
        <v>14908</v>
      </c>
      <c r="K19" s="9">
        <v>4743</v>
      </c>
      <c r="L19" s="10">
        <v>11400</v>
      </c>
      <c r="M19" s="9">
        <v>251.7</v>
      </c>
      <c r="N19" s="9">
        <v>129.9</v>
      </c>
      <c r="O19" s="9">
        <v>1678</v>
      </c>
      <c r="P19" s="10">
        <v>1869</v>
      </c>
      <c r="Q19" s="9">
        <v>85.63</v>
      </c>
      <c r="R19" s="9">
        <v>75.8</v>
      </c>
      <c r="S19" s="9">
        <v>570.9</v>
      </c>
      <c r="T19" s="10">
        <v>870.1</v>
      </c>
      <c r="U19" s="9">
        <v>1874</v>
      </c>
      <c r="V19" s="9">
        <v>170.4</v>
      </c>
      <c r="W19" s="9">
        <v>1651000</v>
      </c>
      <c r="X19" s="10">
        <v>79000</v>
      </c>
      <c r="Y19" s="9">
        <v>5292.26</v>
      </c>
      <c r="Z19" s="9">
        <v>972.08</v>
      </c>
      <c r="AA19" s="10">
        <v>2336.54</v>
      </c>
      <c r="AB19" s="9">
        <v>595.59</v>
      </c>
      <c r="AC19" s="10">
        <v>663.38</v>
      </c>
      <c r="AD19" s="9">
        <v>202.65</v>
      </c>
      <c r="AE19" s="10">
        <v>308.89999999999998</v>
      </c>
      <c r="AF19" s="9" t="s">
        <v>18</v>
      </c>
      <c r="AG19" s="10" t="s">
        <v>84</v>
      </c>
      <c r="AH19" s="9">
        <v>1</v>
      </c>
      <c r="AI19" s="9">
        <v>1</v>
      </c>
      <c r="AJ19" s="24">
        <v>1</v>
      </c>
    </row>
    <row r="20" spans="1:36" ht="17.25" thickBot="1" x14ac:dyDescent="0.3">
      <c r="A20" s="23" t="s">
        <v>157</v>
      </c>
      <c r="B20" s="11" t="s">
        <v>83</v>
      </c>
      <c r="C20" s="12">
        <v>320</v>
      </c>
      <c r="D20" s="12">
        <v>300</v>
      </c>
      <c r="E20" s="12">
        <v>11.5</v>
      </c>
      <c r="F20" s="12">
        <v>20.5</v>
      </c>
      <c r="G20" s="13">
        <v>27</v>
      </c>
      <c r="H20" s="12">
        <v>126.7</v>
      </c>
      <c r="I20" s="12">
        <v>1.7709999999999999</v>
      </c>
      <c r="J20" s="12">
        <v>16134</v>
      </c>
      <c r="K20" s="12">
        <v>5177</v>
      </c>
      <c r="L20" s="13">
        <v>12300</v>
      </c>
      <c r="M20" s="12">
        <v>308.2</v>
      </c>
      <c r="N20" s="12">
        <v>138.19999999999999</v>
      </c>
      <c r="O20" s="12">
        <v>1926</v>
      </c>
      <c r="P20" s="13">
        <v>2149</v>
      </c>
      <c r="Q20" s="12">
        <v>92.39</v>
      </c>
      <c r="R20" s="12">
        <v>75.7</v>
      </c>
      <c r="S20" s="12">
        <v>615.9</v>
      </c>
      <c r="T20" s="13">
        <v>939.1</v>
      </c>
      <c r="U20" s="12">
        <v>2292</v>
      </c>
      <c r="V20" s="12">
        <v>199.3</v>
      </c>
      <c r="W20" s="12">
        <v>2026200</v>
      </c>
      <c r="X20" s="13">
        <v>90900</v>
      </c>
      <c r="Y20" s="12">
        <v>5727.67</v>
      </c>
      <c r="Z20" s="12">
        <v>1061.08</v>
      </c>
      <c r="AA20" s="13">
        <v>2521</v>
      </c>
      <c r="AB20" s="12">
        <v>683.9</v>
      </c>
      <c r="AC20" s="13">
        <v>762.98</v>
      </c>
      <c r="AD20" s="12">
        <v>218.65</v>
      </c>
      <c r="AE20" s="13">
        <v>333.38</v>
      </c>
      <c r="AF20" s="12" t="s">
        <v>18</v>
      </c>
      <c r="AG20" s="13" t="s">
        <v>84</v>
      </c>
      <c r="AH20" s="12">
        <v>1</v>
      </c>
      <c r="AI20" s="12">
        <v>1</v>
      </c>
      <c r="AJ20" s="25">
        <v>1</v>
      </c>
    </row>
    <row r="21" spans="1:36" ht="17.25" thickBot="1" x14ac:dyDescent="0.3">
      <c r="A21" s="22" t="s">
        <v>158</v>
      </c>
      <c r="B21" s="8" t="s">
        <v>83</v>
      </c>
      <c r="C21" s="9">
        <v>340</v>
      </c>
      <c r="D21" s="9">
        <v>300</v>
      </c>
      <c r="E21" s="9">
        <v>12</v>
      </c>
      <c r="F21" s="9">
        <v>21.5</v>
      </c>
      <c r="G21" s="10">
        <v>27</v>
      </c>
      <c r="H21" s="9">
        <v>134.19999999999999</v>
      </c>
      <c r="I21" s="9">
        <v>1.81</v>
      </c>
      <c r="J21" s="9">
        <v>17090</v>
      </c>
      <c r="K21" s="9">
        <v>5609</v>
      </c>
      <c r="L21" s="10">
        <v>12900</v>
      </c>
      <c r="M21" s="9">
        <v>366.6</v>
      </c>
      <c r="N21" s="9">
        <v>146.5</v>
      </c>
      <c r="O21" s="9">
        <v>2156</v>
      </c>
      <c r="P21" s="10">
        <v>2408</v>
      </c>
      <c r="Q21" s="9">
        <v>96.9</v>
      </c>
      <c r="R21" s="9">
        <v>75.3</v>
      </c>
      <c r="S21" s="9">
        <v>646</v>
      </c>
      <c r="T21" s="10">
        <v>985.7</v>
      </c>
      <c r="U21" s="9">
        <v>2620</v>
      </c>
      <c r="V21" s="9">
        <v>218.3</v>
      </c>
      <c r="W21" s="9">
        <v>2405600</v>
      </c>
      <c r="X21" s="10">
        <v>101500</v>
      </c>
      <c r="Y21" s="9">
        <v>6066.87</v>
      </c>
      <c r="Z21" s="9">
        <v>1149.57</v>
      </c>
      <c r="AA21" s="10">
        <v>2643.98</v>
      </c>
      <c r="AB21" s="9">
        <v>765.47</v>
      </c>
      <c r="AC21" s="10">
        <v>854.88</v>
      </c>
      <c r="AD21" s="9">
        <v>229.33</v>
      </c>
      <c r="AE21" s="10">
        <v>349.93</v>
      </c>
      <c r="AF21" s="9" t="s">
        <v>18</v>
      </c>
      <c r="AG21" s="10" t="s">
        <v>84</v>
      </c>
      <c r="AH21" s="9">
        <v>1</v>
      </c>
      <c r="AI21" s="9">
        <v>1</v>
      </c>
      <c r="AJ21" s="24">
        <v>1</v>
      </c>
    </row>
    <row r="22" spans="1:36" ht="17.25" thickBot="1" x14ac:dyDescent="0.3">
      <c r="A22" s="23" t="s">
        <v>159</v>
      </c>
      <c r="B22" s="11" t="s">
        <v>83</v>
      </c>
      <c r="C22" s="12">
        <v>360</v>
      </c>
      <c r="D22" s="12">
        <v>300</v>
      </c>
      <c r="E22" s="12">
        <v>12.5</v>
      </c>
      <c r="F22" s="12">
        <v>22.5</v>
      </c>
      <c r="G22" s="13">
        <v>27</v>
      </c>
      <c r="H22" s="12">
        <v>141.80000000000001</v>
      </c>
      <c r="I22" s="12">
        <v>1.849</v>
      </c>
      <c r="J22" s="12">
        <v>18063</v>
      </c>
      <c r="K22" s="12">
        <v>6060</v>
      </c>
      <c r="L22" s="13">
        <v>13500</v>
      </c>
      <c r="M22" s="12">
        <v>431.9</v>
      </c>
      <c r="N22" s="12">
        <v>154.6</v>
      </c>
      <c r="O22" s="12">
        <v>2400</v>
      </c>
      <c r="P22" s="13">
        <v>2683</v>
      </c>
      <c r="Q22" s="12">
        <v>101.4</v>
      </c>
      <c r="R22" s="12">
        <v>74.900000000000006</v>
      </c>
      <c r="S22" s="12">
        <v>676.1</v>
      </c>
      <c r="T22" s="13">
        <v>1032</v>
      </c>
      <c r="U22" s="12">
        <v>2979</v>
      </c>
      <c r="V22" s="12">
        <v>238.3</v>
      </c>
      <c r="W22" s="12">
        <v>2829300</v>
      </c>
      <c r="X22" s="13">
        <v>112600</v>
      </c>
      <c r="Y22" s="12">
        <v>6412.46</v>
      </c>
      <c r="Z22" s="12">
        <v>1241.96</v>
      </c>
      <c r="AA22" s="13">
        <v>2766.95</v>
      </c>
      <c r="AB22" s="12">
        <v>851.87</v>
      </c>
      <c r="AC22" s="13">
        <v>952.46</v>
      </c>
      <c r="AD22" s="12">
        <v>240.01</v>
      </c>
      <c r="AE22" s="13">
        <v>366.53</v>
      </c>
      <c r="AF22" s="12" t="s">
        <v>18</v>
      </c>
      <c r="AG22" s="13" t="s">
        <v>84</v>
      </c>
      <c r="AH22" s="12">
        <v>1</v>
      </c>
      <c r="AI22" s="12">
        <v>1</v>
      </c>
      <c r="AJ22" s="25">
        <v>1</v>
      </c>
    </row>
    <row r="23" spans="1:36" ht="17.25" thickBot="1" x14ac:dyDescent="0.3">
      <c r="A23" s="22" t="s">
        <v>160</v>
      </c>
      <c r="B23" s="8" t="s">
        <v>83</v>
      </c>
      <c r="C23" s="9">
        <v>400</v>
      </c>
      <c r="D23" s="9">
        <v>300</v>
      </c>
      <c r="E23" s="9">
        <v>13.5</v>
      </c>
      <c r="F23" s="9">
        <v>24</v>
      </c>
      <c r="G23" s="10">
        <v>27</v>
      </c>
      <c r="H23" s="9">
        <v>155.30000000000001</v>
      </c>
      <c r="I23" s="9">
        <v>1.927</v>
      </c>
      <c r="J23" s="9">
        <v>19778</v>
      </c>
      <c r="K23" s="9">
        <v>6998</v>
      </c>
      <c r="L23" s="10">
        <v>14400</v>
      </c>
      <c r="M23" s="9">
        <v>576.79999999999995</v>
      </c>
      <c r="N23" s="9">
        <v>170.8</v>
      </c>
      <c r="O23" s="9">
        <v>2884</v>
      </c>
      <c r="P23" s="10">
        <v>3232</v>
      </c>
      <c r="Q23" s="9">
        <v>108.2</v>
      </c>
      <c r="R23" s="9">
        <v>74</v>
      </c>
      <c r="S23" s="9">
        <v>721.3</v>
      </c>
      <c r="T23" s="10">
        <v>1104</v>
      </c>
      <c r="U23" s="9">
        <v>3611</v>
      </c>
      <c r="V23" s="9">
        <v>267.5</v>
      </c>
      <c r="W23" s="9">
        <v>3751100</v>
      </c>
      <c r="X23" s="10">
        <v>133900</v>
      </c>
      <c r="Y23" s="9">
        <v>7021.11</v>
      </c>
      <c r="Z23" s="9">
        <v>1434.26</v>
      </c>
      <c r="AA23" s="10">
        <v>2951.41</v>
      </c>
      <c r="AB23" s="9">
        <v>1023.83</v>
      </c>
      <c r="AC23" s="10">
        <v>1147.27</v>
      </c>
      <c r="AD23" s="9">
        <v>256.05</v>
      </c>
      <c r="AE23" s="10">
        <v>391.93</v>
      </c>
      <c r="AF23" s="9" t="s">
        <v>99</v>
      </c>
      <c r="AG23" s="10" t="s">
        <v>18</v>
      </c>
      <c r="AH23" s="9">
        <v>1</v>
      </c>
      <c r="AI23" s="9">
        <v>1</v>
      </c>
      <c r="AJ23" s="24">
        <v>1</v>
      </c>
    </row>
    <row r="24" spans="1:36" ht="17.25" thickBot="1" x14ac:dyDescent="0.3">
      <c r="A24" s="23" t="s">
        <v>161</v>
      </c>
      <c r="B24" s="11" t="s">
        <v>83</v>
      </c>
      <c r="C24" s="12">
        <v>450</v>
      </c>
      <c r="D24" s="12">
        <v>300</v>
      </c>
      <c r="E24" s="12">
        <v>14</v>
      </c>
      <c r="F24" s="12">
        <v>26</v>
      </c>
      <c r="G24" s="13">
        <v>27</v>
      </c>
      <c r="H24" s="12">
        <v>171.1</v>
      </c>
      <c r="I24" s="12">
        <v>2.0259999999999998</v>
      </c>
      <c r="J24" s="12">
        <v>21798</v>
      </c>
      <c r="K24" s="12">
        <v>7966</v>
      </c>
      <c r="L24" s="13">
        <v>15600</v>
      </c>
      <c r="M24" s="12">
        <v>798.9</v>
      </c>
      <c r="N24" s="12">
        <v>191.4</v>
      </c>
      <c r="O24" s="12">
        <v>3551</v>
      </c>
      <c r="P24" s="13">
        <v>3982</v>
      </c>
      <c r="Q24" s="12">
        <v>117.2</v>
      </c>
      <c r="R24" s="12">
        <v>73.3</v>
      </c>
      <c r="S24" s="12">
        <v>781.4</v>
      </c>
      <c r="T24" s="13">
        <v>1198</v>
      </c>
      <c r="U24" s="12">
        <v>4489</v>
      </c>
      <c r="V24" s="12">
        <v>320.60000000000002</v>
      </c>
      <c r="W24" s="12">
        <v>5177700</v>
      </c>
      <c r="X24" s="13">
        <v>163800</v>
      </c>
      <c r="Y24" s="12">
        <v>7738.21</v>
      </c>
      <c r="Z24" s="12">
        <v>1632.66</v>
      </c>
      <c r="AA24" s="13">
        <v>3197.37</v>
      </c>
      <c r="AB24" s="12">
        <v>1260.45</v>
      </c>
      <c r="AC24" s="13">
        <v>1413.74</v>
      </c>
      <c r="AD24" s="12">
        <v>277.39999999999998</v>
      </c>
      <c r="AE24" s="13">
        <v>425.17</v>
      </c>
      <c r="AF24" s="12" t="s">
        <v>99</v>
      </c>
      <c r="AG24" s="13" t="s">
        <v>18</v>
      </c>
      <c r="AH24" s="12">
        <v>1</v>
      </c>
      <c r="AI24" s="12">
        <v>1</v>
      </c>
      <c r="AJ24" s="25">
        <v>1</v>
      </c>
    </row>
    <row r="25" spans="1:36" ht="17.25" thickBot="1" x14ac:dyDescent="0.3">
      <c r="A25" s="22" t="s">
        <v>162</v>
      </c>
      <c r="B25" s="8" t="s">
        <v>83</v>
      </c>
      <c r="C25" s="9">
        <v>500</v>
      </c>
      <c r="D25" s="9">
        <v>300</v>
      </c>
      <c r="E25" s="9">
        <v>14.5</v>
      </c>
      <c r="F25" s="9">
        <v>28</v>
      </c>
      <c r="G25" s="10">
        <v>27</v>
      </c>
      <c r="H25" s="9">
        <v>187.3</v>
      </c>
      <c r="I25" s="9">
        <v>2.125</v>
      </c>
      <c r="J25" s="9">
        <v>23864</v>
      </c>
      <c r="K25" s="9">
        <v>8982</v>
      </c>
      <c r="L25" s="10">
        <v>16800</v>
      </c>
      <c r="M25" s="9">
        <v>1072</v>
      </c>
      <c r="N25" s="9">
        <v>211.9</v>
      </c>
      <c r="O25" s="9">
        <v>4287</v>
      </c>
      <c r="P25" s="10">
        <v>4815</v>
      </c>
      <c r="Q25" s="9">
        <v>126.2</v>
      </c>
      <c r="R25" s="9">
        <v>72.7</v>
      </c>
      <c r="S25" s="9">
        <v>841.6</v>
      </c>
      <c r="T25" s="10">
        <v>1292</v>
      </c>
      <c r="U25" s="9">
        <v>5499</v>
      </c>
      <c r="V25" s="9">
        <v>379.2</v>
      </c>
      <c r="W25" s="9">
        <v>6920700</v>
      </c>
      <c r="X25" s="10">
        <v>196600</v>
      </c>
      <c r="Y25" s="9">
        <v>8471.64</v>
      </c>
      <c r="Z25" s="9">
        <v>1840.9</v>
      </c>
      <c r="AA25" s="10">
        <v>3443.32</v>
      </c>
      <c r="AB25" s="9">
        <v>1521.9</v>
      </c>
      <c r="AC25" s="10">
        <v>1709.17</v>
      </c>
      <c r="AD25" s="9">
        <v>298.77</v>
      </c>
      <c r="AE25" s="10">
        <v>458.54</v>
      </c>
      <c r="AF25" s="9" t="s">
        <v>99</v>
      </c>
      <c r="AG25" s="10" t="s">
        <v>18</v>
      </c>
      <c r="AH25" s="9">
        <v>1</v>
      </c>
      <c r="AI25" s="9">
        <v>2</v>
      </c>
      <c r="AJ25" s="24">
        <v>1</v>
      </c>
    </row>
    <row r="26" spans="1:36" ht="17.25" thickBot="1" x14ac:dyDescent="0.3">
      <c r="A26" s="23" t="s">
        <v>163</v>
      </c>
      <c r="B26" s="11" t="s">
        <v>83</v>
      </c>
      <c r="C26" s="12">
        <v>550</v>
      </c>
      <c r="D26" s="12">
        <v>300</v>
      </c>
      <c r="E26" s="12">
        <v>15</v>
      </c>
      <c r="F26" s="12">
        <v>29</v>
      </c>
      <c r="G26" s="13">
        <v>27</v>
      </c>
      <c r="H26" s="12">
        <v>199.4</v>
      </c>
      <c r="I26" s="12">
        <v>2.2240000000000002</v>
      </c>
      <c r="J26" s="12">
        <v>25406</v>
      </c>
      <c r="K26" s="12">
        <v>10007</v>
      </c>
      <c r="L26" s="13">
        <v>17400</v>
      </c>
      <c r="M26" s="12">
        <v>1367</v>
      </c>
      <c r="N26" s="12">
        <v>232</v>
      </c>
      <c r="O26" s="12">
        <v>4971</v>
      </c>
      <c r="P26" s="13">
        <v>5591</v>
      </c>
      <c r="Q26" s="12">
        <v>130.80000000000001</v>
      </c>
      <c r="R26" s="12">
        <v>71.7</v>
      </c>
      <c r="S26" s="12">
        <v>871.8</v>
      </c>
      <c r="T26" s="13">
        <v>1341</v>
      </c>
      <c r="U26" s="12">
        <v>6123</v>
      </c>
      <c r="V26" s="12">
        <v>408.2</v>
      </c>
      <c r="W26" s="12">
        <v>8743900</v>
      </c>
      <c r="X26" s="13">
        <v>224900</v>
      </c>
      <c r="Y26" s="12">
        <v>9019.0499999999993</v>
      </c>
      <c r="Z26" s="12">
        <v>2050.98</v>
      </c>
      <c r="AA26" s="13">
        <v>3566.29</v>
      </c>
      <c r="AB26" s="12">
        <v>1764.55</v>
      </c>
      <c r="AC26" s="13">
        <v>1984.67</v>
      </c>
      <c r="AD26" s="12">
        <v>309.49</v>
      </c>
      <c r="AE26" s="13">
        <v>476.11</v>
      </c>
      <c r="AF26" s="12" t="s">
        <v>99</v>
      </c>
      <c r="AG26" s="13" t="s">
        <v>18</v>
      </c>
      <c r="AH26" s="12">
        <v>1</v>
      </c>
      <c r="AI26" s="12">
        <v>2</v>
      </c>
      <c r="AJ26" s="25">
        <v>1</v>
      </c>
    </row>
    <row r="27" spans="1:36" ht="17.25" thickBot="1" x14ac:dyDescent="0.3">
      <c r="A27" s="22" t="s">
        <v>164</v>
      </c>
      <c r="B27" s="8" t="s">
        <v>83</v>
      </c>
      <c r="C27" s="9">
        <v>600</v>
      </c>
      <c r="D27" s="9">
        <v>300</v>
      </c>
      <c r="E27" s="9">
        <v>15.5</v>
      </c>
      <c r="F27" s="9">
        <v>30</v>
      </c>
      <c r="G27" s="10">
        <v>27</v>
      </c>
      <c r="H27" s="9">
        <v>211.9</v>
      </c>
      <c r="I27" s="9">
        <v>2.323</v>
      </c>
      <c r="J27" s="9">
        <v>26996</v>
      </c>
      <c r="K27" s="9">
        <v>11081</v>
      </c>
      <c r="L27" s="10">
        <v>18000</v>
      </c>
      <c r="M27" s="9">
        <v>1710</v>
      </c>
      <c r="N27" s="9">
        <v>251.7</v>
      </c>
      <c r="O27" s="9">
        <v>5701</v>
      </c>
      <c r="P27" s="10">
        <v>6425</v>
      </c>
      <c r="Q27" s="9">
        <v>135.30000000000001</v>
      </c>
      <c r="R27" s="9">
        <v>70.8</v>
      </c>
      <c r="S27" s="9">
        <v>902</v>
      </c>
      <c r="T27" s="10">
        <v>1391</v>
      </c>
      <c r="U27" s="9">
        <v>6796</v>
      </c>
      <c r="V27" s="9">
        <v>438.5</v>
      </c>
      <c r="W27" s="9">
        <v>10838000</v>
      </c>
      <c r="X27" s="10">
        <v>254700</v>
      </c>
      <c r="Y27" s="9">
        <v>9583.5</v>
      </c>
      <c r="Z27" s="9">
        <v>2271.11</v>
      </c>
      <c r="AA27" s="10">
        <v>3689.27</v>
      </c>
      <c r="AB27" s="9">
        <v>2023.99</v>
      </c>
      <c r="AC27" s="10">
        <v>2280.92</v>
      </c>
      <c r="AD27" s="9">
        <v>320.22000000000003</v>
      </c>
      <c r="AE27" s="10">
        <v>493.83</v>
      </c>
      <c r="AF27" s="9" t="s">
        <v>99</v>
      </c>
      <c r="AG27" s="10" t="s">
        <v>18</v>
      </c>
      <c r="AH27" s="9">
        <v>1</v>
      </c>
      <c r="AI27" s="9">
        <v>3</v>
      </c>
      <c r="AJ27" s="24">
        <v>1</v>
      </c>
    </row>
    <row r="28" spans="1:36" ht="17.25" thickBot="1" x14ac:dyDescent="0.3">
      <c r="A28" s="23" t="s">
        <v>165</v>
      </c>
      <c r="B28" s="11" t="s">
        <v>83</v>
      </c>
      <c r="C28" s="12">
        <v>650</v>
      </c>
      <c r="D28" s="12">
        <v>300</v>
      </c>
      <c r="E28" s="12">
        <v>16</v>
      </c>
      <c r="F28" s="12">
        <v>31</v>
      </c>
      <c r="G28" s="13">
        <v>27</v>
      </c>
      <c r="H28" s="12">
        <v>224.8</v>
      </c>
      <c r="I28" s="12">
        <v>2.4220000000000002</v>
      </c>
      <c r="J28" s="12">
        <v>28634</v>
      </c>
      <c r="K28" s="12">
        <v>12204</v>
      </c>
      <c r="L28" s="13">
        <v>18600</v>
      </c>
      <c r="M28" s="12">
        <v>2106</v>
      </c>
      <c r="N28" s="12">
        <v>271.2</v>
      </c>
      <c r="O28" s="12">
        <v>6480</v>
      </c>
      <c r="P28" s="13">
        <v>7320</v>
      </c>
      <c r="Q28" s="12">
        <v>139.80000000000001</v>
      </c>
      <c r="R28" s="12">
        <v>69.900000000000006</v>
      </c>
      <c r="S28" s="12">
        <v>932.3</v>
      </c>
      <c r="T28" s="13">
        <v>1441</v>
      </c>
      <c r="U28" s="12">
        <v>7520</v>
      </c>
      <c r="V28" s="12">
        <v>470</v>
      </c>
      <c r="W28" s="12">
        <v>13219000</v>
      </c>
      <c r="X28" s="13">
        <v>286000</v>
      </c>
      <c r="Y28" s="12">
        <v>10164.99</v>
      </c>
      <c r="Z28" s="12">
        <v>2501.2800000000002</v>
      </c>
      <c r="AA28" s="13">
        <v>3812.24</v>
      </c>
      <c r="AB28" s="12">
        <v>2300.58</v>
      </c>
      <c r="AC28" s="13">
        <v>2598.56</v>
      </c>
      <c r="AD28" s="12">
        <v>330.95</v>
      </c>
      <c r="AE28" s="13">
        <v>511.7</v>
      </c>
      <c r="AF28" s="12" t="s">
        <v>99</v>
      </c>
      <c r="AG28" s="13" t="s">
        <v>18</v>
      </c>
      <c r="AH28" s="12">
        <v>1</v>
      </c>
      <c r="AI28" s="12">
        <v>3</v>
      </c>
      <c r="AJ28" s="25">
        <v>1</v>
      </c>
    </row>
    <row r="29" spans="1:36" ht="17.25" thickBot="1" x14ac:dyDescent="0.3">
      <c r="A29" s="22" t="s">
        <v>166</v>
      </c>
      <c r="B29" s="8" t="s">
        <v>83</v>
      </c>
      <c r="C29" s="9">
        <v>700</v>
      </c>
      <c r="D29" s="9">
        <v>300</v>
      </c>
      <c r="E29" s="9">
        <v>17</v>
      </c>
      <c r="F29" s="9">
        <v>32</v>
      </c>
      <c r="G29" s="10">
        <v>27</v>
      </c>
      <c r="H29" s="9">
        <v>240.5</v>
      </c>
      <c r="I29" s="9">
        <v>2.52</v>
      </c>
      <c r="J29" s="9">
        <v>30638</v>
      </c>
      <c r="K29" s="9">
        <v>13710</v>
      </c>
      <c r="L29" s="10">
        <v>19200</v>
      </c>
      <c r="M29" s="9">
        <v>2569</v>
      </c>
      <c r="N29" s="9">
        <v>289.60000000000002</v>
      </c>
      <c r="O29" s="9">
        <v>7340</v>
      </c>
      <c r="P29" s="10">
        <v>8327</v>
      </c>
      <c r="Q29" s="9">
        <v>144.4</v>
      </c>
      <c r="R29" s="9">
        <v>68.7</v>
      </c>
      <c r="S29" s="9">
        <v>962.7</v>
      </c>
      <c r="T29" s="10">
        <v>1495</v>
      </c>
      <c r="U29" s="9">
        <v>8417</v>
      </c>
      <c r="V29" s="9">
        <v>495.1</v>
      </c>
      <c r="W29" s="9">
        <v>15900000</v>
      </c>
      <c r="X29" s="10">
        <v>318700</v>
      </c>
      <c r="Y29" s="9">
        <v>10876.41</v>
      </c>
      <c r="Z29" s="9">
        <v>2809.95</v>
      </c>
      <c r="AA29" s="10">
        <v>3935.22</v>
      </c>
      <c r="AB29" s="9">
        <v>2605.58</v>
      </c>
      <c r="AC29" s="10">
        <v>2956.13</v>
      </c>
      <c r="AD29" s="9">
        <v>341.77</v>
      </c>
      <c r="AE29" s="10">
        <v>530.74</v>
      </c>
      <c r="AF29" s="9" t="s">
        <v>99</v>
      </c>
      <c r="AG29" s="10" t="s">
        <v>18</v>
      </c>
      <c r="AH29" s="9">
        <v>1</v>
      </c>
      <c r="AI29" s="9">
        <v>4</v>
      </c>
      <c r="AJ29" s="24">
        <v>1</v>
      </c>
    </row>
    <row r="30" spans="1:36" ht="17.25" thickBot="1" x14ac:dyDescent="0.3">
      <c r="A30" s="23" t="s">
        <v>167</v>
      </c>
      <c r="B30" s="11" t="s">
        <v>83</v>
      </c>
      <c r="C30" s="12">
        <v>800</v>
      </c>
      <c r="D30" s="12">
        <v>300</v>
      </c>
      <c r="E30" s="12">
        <v>17.5</v>
      </c>
      <c r="F30" s="12">
        <v>33</v>
      </c>
      <c r="G30" s="13">
        <v>30</v>
      </c>
      <c r="H30" s="12">
        <v>262.3</v>
      </c>
      <c r="I30" s="12">
        <v>2.7130000000000001</v>
      </c>
      <c r="J30" s="12">
        <v>33418</v>
      </c>
      <c r="K30" s="12">
        <v>16175</v>
      </c>
      <c r="L30" s="13">
        <v>19800</v>
      </c>
      <c r="M30" s="12">
        <v>3591</v>
      </c>
      <c r="N30" s="12">
        <v>327.8</v>
      </c>
      <c r="O30" s="12">
        <v>8977</v>
      </c>
      <c r="P30" s="13">
        <v>10230</v>
      </c>
      <c r="Q30" s="12">
        <v>149</v>
      </c>
      <c r="R30" s="12">
        <v>66.8</v>
      </c>
      <c r="S30" s="12">
        <v>993.6</v>
      </c>
      <c r="T30" s="13">
        <v>1553</v>
      </c>
      <c r="U30" s="12">
        <v>9621</v>
      </c>
      <c r="V30" s="12">
        <v>549.79999999999995</v>
      </c>
      <c r="W30" s="12">
        <v>21617000</v>
      </c>
      <c r="X30" s="13">
        <v>377500</v>
      </c>
      <c r="Y30" s="12">
        <v>11863.24</v>
      </c>
      <c r="Z30" s="12">
        <v>3315.23</v>
      </c>
      <c r="AA30" s="13">
        <v>4058.2</v>
      </c>
      <c r="AB30" s="12">
        <v>3186.87</v>
      </c>
      <c r="AC30" s="13">
        <v>3631.19</v>
      </c>
      <c r="AD30" s="12">
        <v>352.72</v>
      </c>
      <c r="AE30" s="13">
        <v>551.36</v>
      </c>
      <c r="AF30" s="12" t="s">
        <v>99</v>
      </c>
      <c r="AG30" s="13" t="s">
        <v>18</v>
      </c>
      <c r="AH30" s="12">
        <v>1</v>
      </c>
      <c r="AI30" s="12">
        <v>4</v>
      </c>
      <c r="AJ30" s="25">
        <v>1</v>
      </c>
    </row>
    <row r="31" spans="1:36" ht="17.25" thickBot="1" x14ac:dyDescent="0.3">
      <c r="A31" s="22" t="s">
        <v>168</v>
      </c>
      <c r="B31" s="8" t="s">
        <v>83</v>
      </c>
      <c r="C31" s="9">
        <v>900</v>
      </c>
      <c r="D31" s="9">
        <v>300</v>
      </c>
      <c r="E31" s="9">
        <v>18.5</v>
      </c>
      <c r="F31" s="9">
        <v>35</v>
      </c>
      <c r="G31" s="10">
        <v>30</v>
      </c>
      <c r="H31" s="9">
        <v>291.5</v>
      </c>
      <c r="I31" s="9">
        <v>2.911</v>
      </c>
      <c r="J31" s="9">
        <v>37128</v>
      </c>
      <c r="K31" s="9">
        <v>18875</v>
      </c>
      <c r="L31" s="10">
        <v>21000</v>
      </c>
      <c r="M31" s="9">
        <v>4941</v>
      </c>
      <c r="N31" s="9">
        <v>364.8</v>
      </c>
      <c r="O31" s="9">
        <v>10980</v>
      </c>
      <c r="P31" s="10">
        <v>12580</v>
      </c>
      <c r="Q31" s="9">
        <v>158.19999999999999</v>
      </c>
      <c r="R31" s="9">
        <v>65.3</v>
      </c>
      <c r="S31" s="9">
        <v>1054</v>
      </c>
      <c r="T31" s="10">
        <v>1658</v>
      </c>
      <c r="U31" s="9">
        <v>11540</v>
      </c>
      <c r="V31" s="9">
        <v>623.79999999999995</v>
      </c>
      <c r="W31" s="9">
        <v>29196000</v>
      </c>
      <c r="X31" s="10">
        <v>451800</v>
      </c>
      <c r="Y31" s="9">
        <v>13180.29</v>
      </c>
      <c r="Z31" s="9">
        <v>3868.62</v>
      </c>
      <c r="AA31" s="10">
        <v>4304.1499999999996</v>
      </c>
      <c r="AB31" s="9">
        <v>3897.62</v>
      </c>
      <c r="AC31" s="10">
        <v>4467.3599999999997</v>
      </c>
      <c r="AD31" s="9">
        <v>374.31</v>
      </c>
      <c r="AE31" s="10">
        <v>588.71</v>
      </c>
      <c r="AF31" s="9" t="s">
        <v>99</v>
      </c>
      <c r="AG31" s="10" t="s">
        <v>18</v>
      </c>
      <c r="AH31" s="9">
        <v>1</v>
      </c>
      <c r="AI31" s="9">
        <v>4</v>
      </c>
      <c r="AJ31" s="24">
        <v>1</v>
      </c>
    </row>
    <row r="32" spans="1:36" ht="16.5" x14ac:dyDescent="0.25">
      <c r="A32" s="26" t="s">
        <v>169</v>
      </c>
      <c r="B32" s="27" t="s">
        <v>83</v>
      </c>
      <c r="C32" s="28">
        <v>1000</v>
      </c>
      <c r="D32" s="28">
        <v>300</v>
      </c>
      <c r="E32" s="28">
        <v>19</v>
      </c>
      <c r="F32" s="28">
        <v>36</v>
      </c>
      <c r="G32" s="29">
        <v>30</v>
      </c>
      <c r="H32" s="28">
        <v>314</v>
      </c>
      <c r="I32" s="28">
        <v>3.11</v>
      </c>
      <c r="J32" s="28">
        <v>40005</v>
      </c>
      <c r="K32" s="28">
        <v>21249</v>
      </c>
      <c r="L32" s="29">
        <v>21600</v>
      </c>
      <c r="M32" s="28">
        <v>6447</v>
      </c>
      <c r="N32" s="28">
        <v>401.5</v>
      </c>
      <c r="O32" s="28">
        <v>12890</v>
      </c>
      <c r="P32" s="29">
        <v>14860</v>
      </c>
      <c r="Q32" s="28">
        <v>162.80000000000001</v>
      </c>
      <c r="R32" s="28">
        <v>63.8</v>
      </c>
      <c r="S32" s="28">
        <v>1085</v>
      </c>
      <c r="T32" s="29">
        <v>1716</v>
      </c>
      <c r="U32" s="28">
        <v>12720</v>
      </c>
      <c r="V32" s="28">
        <v>669.5</v>
      </c>
      <c r="W32" s="28">
        <v>37340000</v>
      </c>
      <c r="X32" s="29">
        <v>518300</v>
      </c>
      <c r="Y32" s="28">
        <v>14201.62</v>
      </c>
      <c r="Z32" s="28">
        <v>4355.09</v>
      </c>
      <c r="AA32" s="29">
        <v>4427.12</v>
      </c>
      <c r="AB32" s="28">
        <v>4577.71</v>
      </c>
      <c r="AC32" s="29">
        <v>5273.57</v>
      </c>
      <c r="AD32" s="28">
        <v>385.19</v>
      </c>
      <c r="AE32" s="29">
        <v>609.28</v>
      </c>
      <c r="AF32" s="28" t="s">
        <v>99</v>
      </c>
      <c r="AG32" s="29" t="s">
        <v>18</v>
      </c>
      <c r="AH32" s="28">
        <v>1</v>
      </c>
      <c r="AI32" s="28">
        <v>4</v>
      </c>
      <c r="AJ32" s="30">
        <v>1</v>
      </c>
    </row>
  </sheetData>
  <mergeCells count="17">
    <mergeCell ref="AJ4:AJ7"/>
    <mergeCell ref="AB3:AC3"/>
    <mergeCell ref="AD3:AE3"/>
    <mergeCell ref="AF3:AG3"/>
    <mergeCell ref="AH3:AJ3"/>
    <mergeCell ref="AI4:AI7"/>
    <mergeCell ref="A4:A7"/>
    <mergeCell ref="B4:B7"/>
    <mergeCell ref="AF4:AF7"/>
    <mergeCell ref="AG4:AG7"/>
    <mergeCell ref="AH4:AH7"/>
    <mergeCell ref="Y3:AA3"/>
    <mergeCell ref="C3:G3"/>
    <mergeCell ref="H3:L3"/>
    <mergeCell ref="M3:P3"/>
    <mergeCell ref="Q3:T3"/>
    <mergeCell ref="U3:X3"/>
  </mergeCells>
  <hyperlinks>
    <hyperlink ref="B9" r:id="rId1" display="https://eurocodeapplied.com/download/en1993/flanged-profile-dxf/HEB100" xr:uid="{2020456B-A6BD-466A-98E0-7967B32D7917}"/>
    <hyperlink ref="B10" r:id="rId2" display="https://eurocodeapplied.com/download/en1993/flanged-profile-dxf/HEB120" xr:uid="{059F219E-1CF5-46D1-99BE-9FF8255DB21E}"/>
    <hyperlink ref="B11" r:id="rId3" display="https://eurocodeapplied.com/download/en1993/flanged-profile-dxf/HEB140" xr:uid="{34BF3B2E-61AC-4830-A30E-14BD0E820454}"/>
    <hyperlink ref="B12" r:id="rId4" display="https://eurocodeapplied.com/download/en1993/flanged-profile-dxf/HEB160" xr:uid="{4E2A1801-2963-447F-A335-58B8E8A176CC}"/>
    <hyperlink ref="B13" r:id="rId5" display="https://eurocodeapplied.com/download/en1993/flanged-profile-dxf/HEB180" xr:uid="{5D539050-5259-4286-BC8C-A3F0B2840F49}"/>
    <hyperlink ref="B14" r:id="rId6" display="https://eurocodeapplied.com/download/en1993/flanged-profile-dxf/HEB200" xr:uid="{064DC1DB-E035-4A03-9DD6-CC2E43E999C0}"/>
    <hyperlink ref="B15" r:id="rId7" display="https://eurocodeapplied.com/download/en1993/flanged-profile-dxf/HEB220" xr:uid="{D8B97313-EFF0-48F2-BB92-75090994890F}"/>
    <hyperlink ref="B16" r:id="rId8" display="https://eurocodeapplied.com/download/en1993/flanged-profile-dxf/HEB240" xr:uid="{F272278B-45D5-4DDF-AE39-A74BED72A17D}"/>
    <hyperlink ref="B17" r:id="rId9" display="https://eurocodeapplied.com/download/en1993/flanged-profile-dxf/HEB260" xr:uid="{3B6739A2-C24D-4977-8824-67D44C4F5D43}"/>
    <hyperlink ref="B18" r:id="rId10" display="https://eurocodeapplied.com/download/en1993/flanged-profile-dxf/HEB280" xr:uid="{9F471B7F-9625-4A7B-9A6D-6F75CAA533B4}"/>
    <hyperlink ref="B19" r:id="rId11" display="https://eurocodeapplied.com/download/en1993/flanged-profile-dxf/HEB300" xr:uid="{3500BFBE-DF31-4449-ABE4-259468601853}"/>
    <hyperlink ref="B20" r:id="rId12" display="https://eurocodeapplied.com/download/en1993/flanged-profile-dxf/HEB320" xr:uid="{797C9642-663E-426A-8532-65DF213C90C8}"/>
    <hyperlink ref="B21" r:id="rId13" display="https://eurocodeapplied.com/download/en1993/flanged-profile-dxf/HEB340" xr:uid="{B030E0EE-F4CB-4C27-BF65-6C17037146DA}"/>
    <hyperlink ref="B22" r:id="rId14" display="https://eurocodeapplied.com/download/en1993/flanged-profile-dxf/HEB360" xr:uid="{DC6ECA1A-9E9A-46A1-9F0E-7F7CD291C8ED}"/>
    <hyperlink ref="B23" r:id="rId15" display="https://eurocodeapplied.com/download/en1993/flanged-profile-dxf/HEB400" xr:uid="{75A82E92-1467-4A2A-B456-00070D34A071}"/>
    <hyperlink ref="B24" r:id="rId16" display="https://eurocodeapplied.com/download/en1993/flanged-profile-dxf/HEB450" xr:uid="{E1492CB7-B264-41FC-A60B-6DFF9EF7C84A}"/>
    <hyperlink ref="B25" r:id="rId17" display="https://eurocodeapplied.com/download/en1993/flanged-profile-dxf/HEB500" xr:uid="{F8F5AECD-2A85-4C1A-B2D4-2D3A07CFC902}"/>
    <hyperlink ref="B26" r:id="rId18" display="https://eurocodeapplied.com/download/en1993/flanged-profile-dxf/HEB550" xr:uid="{E3C7C7CB-E8CA-4519-8EA7-F782A4EE9432}"/>
    <hyperlink ref="B27" r:id="rId19" display="https://eurocodeapplied.com/download/en1993/flanged-profile-dxf/HEB600" xr:uid="{86B12FE9-C224-4FEB-91E4-C98E0EAB5F9B}"/>
    <hyperlink ref="B28" r:id="rId20" display="https://eurocodeapplied.com/download/en1993/flanged-profile-dxf/HEB650" xr:uid="{FC1A34AF-6865-4F77-84B1-88CC2E8CA061}"/>
    <hyperlink ref="B29" r:id="rId21" display="https://eurocodeapplied.com/download/en1993/flanged-profile-dxf/HEB700" xr:uid="{2DF44274-52DD-4D49-9544-02372D0AFCED}"/>
    <hyperlink ref="B30" r:id="rId22" display="https://eurocodeapplied.com/download/en1993/flanged-profile-dxf/HEB800" xr:uid="{72ED29DE-C6E7-441C-B716-6E9DDE093110}"/>
    <hyperlink ref="B31" r:id="rId23" display="https://eurocodeapplied.com/download/en1993/flanged-profile-dxf/HEB900" xr:uid="{7384AC3F-ACD1-47AB-8121-60CDB45D4F31}"/>
    <hyperlink ref="B32" r:id="rId24" display="https://eurocodeapplied.com/download/en1993/flanged-profile-dxf/HEB1000" xr:uid="{F07F8F55-A07C-4BC2-8687-125AE845A0C3}"/>
  </hyperlinks>
  <pageMargins left="0.7" right="0.7" top="0.75" bottom="0.75" header="0.3" footer="0.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13A-E7C1-4A49-A122-E54F61F33F6C}">
  <sheetPr codeName="Sheet6"/>
  <dimension ref="A1:A3"/>
  <sheetViews>
    <sheetView workbookViewId="0">
      <selection activeCell="I18" sqref="I18"/>
    </sheetView>
  </sheetViews>
  <sheetFormatPr defaultRowHeight="15" x14ac:dyDescent="0.25"/>
  <sheetData>
    <row r="1" spans="1:1" x14ac:dyDescent="0.25">
      <c r="A1" t="s">
        <v>130</v>
      </c>
    </row>
    <row r="2" spans="1:1" x14ac:dyDescent="0.25">
      <c r="A2" t="s">
        <v>170</v>
      </c>
    </row>
    <row r="3" spans="1:1" x14ac:dyDescent="0.25">
      <c r="A3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8D35-F22A-4E52-B9E0-2C23D26DCDC9}">
  <dimension ref="A1:K25"/>
  <sheetViews>
    <sheetView zoomScale="85" zoomScaleNormal="85" workbookViewId="0">
      <pane xSplit="10" ySplit="12" topLeftCell="N18" activePane="bottomRight" state="frozen"/>
      <selection pane="topRight" activeCell="K1" sqref="K1"/>
      <selection pane="bottomLeft" activeCell="A13" sqref="A13"/>
      <selection pane="bottomRight" activeCell="H34" sqref="H34"/>
    </sheetView>
  </sheetViews>
  <sheetFormatPr defaultRowHeight="15" x14ac:dyDescent="0.25"/>
  <cols>
    <col min="1" max="1" width="62.42578125" customWidth="1"/>
    <col min="2" max="2" width="13.42578125" customWidth="1"/>
    <col min="3" max="3" width="51.85546875" customWidth="1"/>
    <col min="4" max="4" width="16.140625" customWidth="1"/>
    <col min="5" max="5" width="55.28515625" customWidth="1"/>
  </cols>
  <sheetData>
    <row r="1" spans="1:11" x14ac:dyDescent="0.25">
      <c r="A1" t="s">
        <v>303</v>
      </c>
      <c r="B1" t="s">
        <v>304</v>
      </c>
    </row>
    <row r="2" spans="1:11" x14ac:dyDescent="0.25">
      <c r="A2" t="s">
        <v>99</v>
      </c>
      <c r="B2" t="s">
        <v>305</v>
      </c>
    </row>
    <row r="3" spans="1:11" x14ac:dyDescent="0.25">
      <c r="A3" t="s">
        <v>18</v>
      </c>
      <c r="B3" t="s">
        <v>306</v>
      </c>
    </row>
    <row r="4" spans="1:11" x14ac:dyDescent="0.25">
      <c r="A4" t="s">
        <v>307</v>
      </c>
      <c r="B4" t="s">
        <v>311</v>
      </c>
    </row>
    <row r="5" spans="1:11" x14ac:dyDescent="0.25">
      <c r="A5" t="s">
        <v>308</v>
      </c>
      <c r="B5" t="s">
        <v>312</v>
      </c>
    </row>
    <row r="6" spans="1:11" x14ac:dyDescent="0.25">
      <c r="A6" t="s">
        <v>309</v>
      </c>
      <c r="B6" t="s">
        <v>313</v>
      </c>
    </row>
    <row r="7" spans="1:11" x14ac:dyDescent="0.25">
      <c r="A7" t="s">
        <v>310</v>
      </c>
      <c r="B7" t="s">
        <v>314</v>
      </c>
    </row>
    <row r="12" spans="1:11" x14ac:dyDescent="0.25">
      <c r="A12" t="s">
        <v>296</v>
      </c>
      <c r="B12" t="s">
        <v>298</v>
      </c>
      <c r="C12" t="s">
        <v>299</v>
      </c>
      <c r="D12" t="s">
        <v>300</v>
      </c>
      <c r="E12" t="s">
        <v>301</v>
      </c>
      <c r="F12" t="s">
        <v>99</v>
      </c>
      <c r="G12" t="s">
        <v>18</v>
      </c>
      <c r="H12" t="s">
        <v>307</v>
      </c>
      <c r="I12" t="s">
        <v>308</v>
      </c>
      <c r="J12" t="s">
        <v>309</v>
      </c>
      <c r="K12" t="s">
        <v>310</v>
      </c>
    </row>
    <row r="13" spans="1:11" ht="211.5" customHeight="1" x14ac:dyDescent="0.25">
      <c r="A13" t="s">
        <v>325</v>
      </c>
      <c r="B13" s="64" t="s">
        <v>297</v>
      </c>
      <c r="C13" t="e" vm="1">
        <f>_xlfn.IMAGE(B13)</f>
        <v>#VALUE!</v>
      </c>
      <c r="D13" s="65" t="s">
        <v>302</v>
      </c>
      <c r="E13" t="e" vm="2">
        <f>_xlfn.IMAGE(D13)</f>
        <v>#VALUE!</v>
      </c>
      <c r="F13">
        <v>5</v>
      </c>
      <c r="G13">
        <v>384</v>
      </c>
      <c r="H13">
        <v>1</v>
      </c>
      <c r="I13">
        <v>2</v>
      </c>
      <c r="J13">
        <v>1</v>
      </c>
      <c r="K13">
        <v>8</v>
      </c>
    </row>
    <row r="14" spans="1:11" ht="348.75" x14ac:dyDescent="0.25">
      <c r="A14" t="s">
        <v>315</v>
      </c>
      <c r="B14" s="65" t="s">
        <v>316</v>
      </c>
      <c r="C14" t="e" vm="3">
        <f>_xlfn.IMAGE(B14)</f>
        <v>#VALUE!</v>
      </c>
      <c r="D14" s="65" t="s">
        <v>317</v>
      </c>
      <c r="E14" t="e" vm="4">
        <f>_xlfn.IMAGE(D14)</f>
        <v>#VALUE!</v>
      </c>
      <c r="F14">
        <v>1</v>
      </c>
      <c r="G14">
        <v>8</v>
      </c>
      <c r="H14">
        <v>1</v>
      </c>
      <c r="I14">
        <v>1</v>
      </c>
      <c r="J14">
        <v>1</v>
      </c>
      <c r="K14">
        <v>2</v>
      </c>
    </row>
    <row r="15" spans="1:11" ht="348.75" x14ac:dyDescent="0.25">
      <c r="A15" t="s">
        <v>320</v>
      </c>
      <c r="B15" s="65" t="s">
        <v>321</v>
      </c>
      <c r="C15" t="e" vm="5">
        <f>_xlfn.IMAGE(B15)</f>
        <v>#VALUE!</v>
      </c>
      <c r="D15" s="65" t="s">
        <v>322</v>
      </c>
      <c r="E15" t="e" vm="6">
        <f>_xlfn.IMAGE(D15)</f>
        <v>#VALUE!</v>
      </c>
      <c r="F15">
        <v>1</v>
      </c>
      <c r="G15">
        <v>185</v>
      </c>
      <c r="H15">
        <v>5</v>
      </c>
      <c r="I15">
        <v>8</v>
      </c>
      <c r="J15">
        <v>1</v>
      </c>
      <c r="K15">
        <v>8</v>
      </c>
    </row>
    <row r="21" spans="4:5" x14ac:dyDescent="0.25">
      <c r="D21" t="s">
        <v>328</v>
      </c>
      <c r="E21">
        <f>1/185</f>
        <v>5.4054054054054057E-3</v>
      </c>
    </row>
    <row r="22" spans="4:5" x14ac:dyDescent="0.25">
      <c r="D22" t="s">
        <v>329</v>
      </c>
      <c r="E22">
        <f>5/384</f>
        <v>1.3020833333333334E-2</v>
      </c>
    </row>
    <row r="25" spans="4:5" x14ac:dyDescent="0.25">
      <c r="E25">
        <f>E21/E22</f>
        <v>0.41513513513513511</v>
      </c>
    </row>
  </sheetData>
  <hyperlinks>
    <hyperlink ref="B13" r:id="rId1" xr:uid="{3EFD08F1-6D7C-45A4-8991-D39BDB64DD49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E679-5C61-4A9F-A0E5-362ECA01F035}">
  <sheetPr codeName="Sheet1"/>
  <dimension ref="A1:AK138"/>
  <sheetViews>
    <sheetView zoomScaleNormal="100" workbookViewId="0">
      <pane ySplit="6" topLeftCell="A118" activePane="bottomLeft" state="frozen"/>
      <selection activeCell="H16" sqref="H16"/>
      <selection pane="bottomLeft" activeCell="H16" sqref="H16"/>
    </sheetView>
  </sheetViews>
  <sheetFormatPr defaultRowHeight="15" x14ac:dyDescent="0.25"/>
  <cols>
    <col min="1" max="1" width="52.7109375" customWidth="1"/>
    <col min="2" max="2" width="12" bestFit="1" customWidth="1"/>
    <col min="11" max="11" width="10.42578125" bestFit="1" customWidth="1"/>
    <col min="17" max="17" width="17.85546875" customWidth="1"/>
    <col min="19" max="19" width="11.5703125" bestFit="1" customWidth="1"/>
    <col min="20" max="20" width="11.7109375" bestFit="1" customWidth="1"/>
    <col min="21" max="21" width="12.140625" bestFit="1" customWidth="1"/>
    <col min="32" max="32" width="9.85546875" bestFit="1" customWidth="1"/>
    <col min="33" max="33" width="11.140625" bestFit="1" customWidth="1"/>
    <col min="34" max="34" width="12.140625" bestFit="1" customWidth="1"/>
  </cols>
  <sheetData>
    <row r="1" spans="1:37" x14ac:dyDescent="0.25">
      <c r="A1" s="16" t="s">
        <v>143</v>
      </c>
    </row>
    <row r="2" spans="1:37" x14ac:dyDescent="0.25">
      <c r="A2" s="19" t="s">
        <v>144</v>
      </c>
      <c r="E2">
        <v>7</v>
      </c>
      <c r="F2">
        <v>1.5</v>
      </c>
      <c r="G2">
        <v>4</v>
      </c>
      <c r="H2">
        <v>4.47</v>
      </c>
    </row>
    <row r="4" spans="1:37" x14ac:dyDescent="0.25">
      <c r="M4" s="14" t="s">
        <v>218</v>
      </c>
      <c r="Z4" s="14" t="s">
        <v>219</v>
      </c>
    </row>
    <row r="5" spans="1:37" x14ac:dyDescent="0.25">
      <c r="A5" t="s">
        <v>206</v>
      </c>
      <c r="D5" t="s">
        <v>118</v>
      </c>
      <c r="E5" t="s">
        <v>119</v>
      </c>
      <c r="F5" t="s">
        <v>226</v>
      </c>
      <c r="G5" t="s">
        <v>114</v>
      </c>
      <c r="H5" t="s">
        <v>217</v>
      </c>
      <c r="I5" t="s">
        <v>216</v>
      </c>
      <c r="J5" t="s">
        <v>26</v>
      </c>
      <c r="K5" t="s">
        <v>181</v>
      </c>
      <c r="M5" t="s">
        <v>208</v>
      </c>
      <c r="N5" t="s">
        <v>209</v>
      </c>
      <c r="O5" t="s">
        <v>123</v>
      </c>
      <c r="P5" t="s">
        <v>124</v>
      </c>
      <c r="Q5" t="s">
        <v>286</v>
      </c>
      <c r="R5" t="s">
        <v>125</v>
      </c>
      <c r="S5" t="s">
        <v>290</v>
      </c>
      <c r="T5" t="s">
        <v>291</v>
      </c>
      <c r="U5" t="s">
        <v>207</v>
      </c>
      <c r="V5" t="s">
        <v>113</v>
      </c>
      <c r="W5" t="s">
        <v>232</v>
      </c>
      <c r="X5" t="s">
        <v>295</v>
      </c>
      <c r="Z5" t="s">
        <v>211</v>
      </c>
      <c r="AA5" t="s">
        <v>212</v>
      </c>
      <c r="AB5" t="s">
        <v>122</v>
      </c>
      <c r="AC5" t="s">
        <v>210</v>
      </c>
      <c r="AD5" t="s">
        <v>135</v>
      </c>
      <c r="AE5" t="s">
        <v>294</v>
      </c>
      <c r="AF5" t="s">
        <v>136</v>
      </c>
      <c r="AG5" t="s">
        <v>137</v>
      </c>
      <c r="AH5" t="s">
        <v>214</v>
      </c>
      <c r="AI5" t="s">
        <v>215</v>
      </c>
      <c r="AJ5" t="s">
        <v>287</v>
      </c>
      <c r="AK5" t="s">
        <v>133</v>
      </c>
    </row>
    <row r="6" spans="1:37" x14ac:dyDescent="0.25">
      <c r="D6" t="s">
        <v>30</v>
      </c>
      <c r="E6" t="s">
        <v>220</v>
      </c>
      <c r="F6" t="s">
        <v>220</v>
      </c>
      <c r="G6" t="s">
        <v>30</v>
      </c>
      <c r="H6" t="s">
        <v>221</v>
      </c>
      <c r="I6" t="s">
        <v>221</v>
      </c>
      <c r="J6" t="s">
        <v>182</v>
      </c>
      <c r="K6" t="s">
        <v>180</v>
      </c>
      <c r="O6" t="s">
        <v>222</v>
      </c>
      <c r="R6" t="s">
        <v>16</v>
      </c>
      <c r="U6" t="s">
        <v>223</v>
      </c>
      <c r="V6" t="s">
        <v>223</v>
      </c>
      <c r="W6" t="s">
        <v>16</v>
      </c>
      <c r="AB6" t="s">
        <v>222</v>
      </c>
      <c r="AC6" t="s">
        <v>134</v>
      </c>
      <c r="AF6" t="s">
        <v>224</v>
      </c>
      <c r="AG6" t="s">
        <v>225</v>
      </c>
      <c r="AH6" t="s">
        <v>225</v>
      </c>
    </row>
    <row r="7" spans="1:37" x14ac:dyDescent="0.25">
      <c r="A7" s="16" t="s">
        <v>227</v>
      </c>
      <c r="B7" s="17" t="s">
        <v>202</v>
      </c>
      <c r="C7" s="17" t="s">
        <v>196</v>
      </c>
      <c r="D7" s="34">
        <v>8.5500000000000007</v>
      </c>
      <c r="E7" s="34">
        <v>1.5</v>
      </c>
      <c r="F7" s="34">
        <v>2.4</v>
      </c>
      <c r="G7" s="34">
        <f>8.45/2</f>
        <v>4.2249999999999996</v>
      </c>
      <c r="H7" s="15">
        <f ca="1">X7</f>
        <v>0.98120918618919906</v>
      </c>
      <c r="I7" s="15">
        <f ca="1">AI7</f>
        <v>0.68241323219446148</v>
      </c>
      <c r="J7" s="20">
        <f ca="1">VLOOKUP(C7,INDIRECT(B7),8,FALSE)</f>
        <v>57.1</v>
      </c>
      <c r="K7" s="32">
        <f ca="1">J7*D7</f>
        <v>488.20500000000004</v>
      </c>
      <c r="L7" s="35">
        <f ca="1">K7</f>
        <v>488.20500000000004</v>
      </c>
      <c r="M7" s="16">
        <v>1</v>
      </c>
      <c r="N7" s="16">
        <v>1</v>
      </c>
      <c r="O7" s="20">
        <f>G7*(M7*E7+N7*F7)</f>
        <v>16.477499999999999</v>
      </c>
      <c r="P7" s="16">
        <v>250</v>
      </c>
      <c r="Q7" s="16"/>
      <c r="R7" s="20">
        <f>D7*1000/P7</f>
        <v>34.200000000000003</v>
      </c>
      <c r="S7" s="62">
        <v>5</v>
      </c>
      <c r="T7" s="62">
        <v>384</v>
      </c>
      <c r="U7" s="20">
        <f>S7*O7*(D7*1000)^4/(T7*210000*R7)/(10^6)</f>
        <v>159.64273459298269</v>
      </c>
      <c r="V7" s="20">
        <f ca="1">VLOOKUP(C7,INDIRECT(B7),13,FALSE)</f>
        <v>162.69999999999999</v>
      </c>
      <c r="W7" s="20">
        <f ca="1">S7*O7*D7^4/(T7*210000*V7)*1000000</f>
        <v>33.55735416767061</v>
      </c>
      <c r="X7" s="15">
        <f ca="1">W7/R7</f>
        <v>0.98120918618919906</v>
      </c>
      <c r="Z7" s="16">
        <v>1.2</v>
      </c>
      <c r="AA7" s="16">
        <v>1.5</v>
      </c>
      <c r="AB7" s="20">
        <f>G7*(Z7*E7+AA7*F7)</f>
        <v>22.814999999999994</v>
      </c>
      <c r="AC7" s="20">
        <f>AB7*D7^2/8</f>
        <v>208.47919218749996</v>
      </c>
      <c r="AD7" s="16">
        <v>355</v>
      </c>
      <c r="AE7" s="63">
        <v>1.05</v>
      </c>
      <c r="AF7" s="20">
        <f>AD7/AE7</f>
        <v>338.09523809523807</v>
      </c>
      <c r="AG7" s="20">
        <f>AC7*10^6/AF7/1000</f>
        <v>616.62859661091545</v>
      </c>
      <c r="AH7" s="20">
        <f ca="1">VLOOKUP(C7,INDIRECT(B7),15,FALSE)</f>
        <v>903.6</v>
      </c>
      <c r="AI7" s="15">
        <f ca="1">AG7/AH7</f>
        <v>0.68241323219446148</v>
      </c>
    </row>
    <row r="8" spans="1:37" x14ac:dyDescent="0.25">
      <c r="A8" s="16" t="s">
        <v>227</v>
      </c>
      <c r="B8" s="17" t="s">
        <v>130</v>
      </c>
      <c r="C8" s="17" t="s">
        <v>94</v>
      </c>
      <c r="D8" s="16">
        <f t="shared" ref="D8:G9" si="0">D7</f>
        <v>8.5500000000000007</v>
      </c>
      <c r="E8" s="16">
        <f t="shared" si="0"/>
        <v>1.5</v>
      </c>
      <c r="F8" s="16">
        <f t="shared" si="0"/>
        <v>2.4</v>
      </c>
      <c r="G8" s="16">
        <f t="shared" si="0"/>
        <v>4.2249999999999996</v>
      </c>
      <c r="H8" s="15">
        <f ca="1">X8</f>
        <v>0.8742756549451407</v>
      </c>
      <c r="I8" s="15">
        <f ca="1">AI8</f>
        <v>0.48938777508802811</v>
      </c>
      <c r="J8" s="20">
        <f ca="1">VLOOKUP(C8,INDIRECT(B8),8,FALSE)</f>
        <v>88.3</v>
      </c>
      <c r="K8" s="32">
        <f ca="1">J8*D8</f>
        <v>754.96500000000003</v>
      </c>
      <c r="L8" s="35">
        <f ca="1">K8</f>
        <v>754.96500000000003</v>
      </c>
      <c r="M8" s="16">
        <v>1</v>
      </c>
      <c r="N8" s="16">
        <v>1</v>
      </c>
      <c r="O8" s="20">
        <f>G8*(M8*E8+N8*F8)</f>
        <v>16.477499999999999</v>
      </c>
      <c r="P8" s="16">
        <v>250</v>
      </c>
      <c r="Q8" s="16"/>
      <c r="R8" s="20">
        <f>D8*1000/P8</f>
        <v>34.200000000000003</v>
      </c>
      <c r="S8" s="62">
        <v>5</v>
      </c>
      <c r="T8" s="62">
        <v>384</v>
      </c>
      <c r="U8" s="20">
        <f>S8*O8*(D8*1000)^4/(T8*210000*R8)/(10^6)</f>
        <v>159.64273459298269</v>
      </c>
      <c r="V8" s="20">
        <f ca="1">VLOOKUP(C8,INDIRECT(B8),13,FALSE)</f>
        <v>182.6</v>
      </c>
      <c r="W8" s="20">
        <f t="shared" ref="W8:W9" ca="1" si="1">S8*O8*D8^4/(T8*210000*V8)*1000000</f>
        <v>29.900227399123814</v>
      </c>
      <c r="X8" s="15">
        <f t="shared" ref="X8:X9" ca="1" si="2">W8/R8</f>
        <v>0.8742756549451407</v>
      </c>
      <c r="Z8" s="16">
        <v>1.2</v>
      </c>
      <c r="AA8" s="16">
        <v>1.5</v>
      </c>
      <c r="AB8" s="20">
        <f>G8*(Z8*E8+AA8*F8)</f>
        <v>22.814999999999994</v>
      </c>
      <c r="AC8" s="20">
        <f>AB8*D8^2/8</f>
        <v>208.47919218749996</v>
      </c>
      <c r="AD8" s="16">
        <v>355</v>
      </c>
      <c r="AE8" s="63">
        <v>1.05</v>
      </c>
      <c r="AF8" s="20">
        <f t="shared" ref="AF8:AF9" si="3">AD8/AE8</f>
        <v>338.09523809523807</v>
      </c>
      <c r="AG8" s="20">
        <f>AC8*10^6/AF8/1000</f>
        <v>616.62859661091545</v>
      </c>
      <c r="AH8" s="20">
        <f ca="1">VLOOKUP(C8,INDIRECT(B8),15,FALSE)</f>
        <v>1260</v>
      </c>
      <c r="AI8" s="15">
        <f ca="1">AG8/AH8</f>
        <v>0.48938777508802811</v>
      </c>
    </row>
    <row r="9" spans="1:37" x14ac:dyDescent="0.25">
      <c r="A9" s="16" t="s">
        <v>227</v>
      </c>
      <c r="B9" s="17" t="s">
        <v>170</v>
      </c>
      <c r="C9" s="17" t="s">
        <v>155</v>
      </c>
      <c r="D9" s="16">
        <f t="shared" si="0"/>
        <v>8.5500000000000007</v>
      </c>
      <c r="E9" s="16">
        <f t="shared" si="0"/>
        <v>1.5</v>
      </c>
      <c r="F9" s="16">
        <f t="shared" si="0"/>
        <v>2.4</v>
      </c>
      <c r="G9" s="16">
        <f t="shared" si="0"/>
        <v>4.2249999999999996</v>
      </c>
      <c r="H9" s="15">
        <f ca="1">X9</f>
        <v>0.82845217744152932</v>
      </c>
      <c r="I9" s="15">
        <f ca="1">AI9</f>
        <v>0.44813124753700251</v>
      </c>
      <c r="J9" s="20">
        <f ca="1">VLOOKUP(C9,INDIRECT(B9),8,FALSE)</f>
        <v>103.1</v>
      </c>
      <c r="K9" s="32">
        <f ca="1">J9*D9</f>
        <v>881.505</v>
      </c>
      <c r="L9" s="35">
        <f ca="1">K9</f>
        <v>881.505</v>
      </c>
      <c r="M9" s="16">
        <v>1</v>
      </c>
      <c r="N9" s="16">
        <v>1</v>
      </c>
      <c r="O9" s="20">
        <f>G9*(M9*E9+N9*F9)</f>
        <v>16.477499999999999</v>
      </c>
      <c r="P9" s="16">
        <v>250</v>
      </c>
      <c r="Q9" s="16"/>
      <c r="R9" s="20">
        <f>D9*1000/P9</f>
        <v>34.200000000000003</v>
      </c>
      <c r="S9" s="62">
        <v>5</v>
      </c>
      <c r="T9" s="62">
        <v>384</v>
      </c>
      <c r="U9" s="20">
        <f>S9*O9*(D9*1000)^4/(T9*210000*R9)/(10^6)</f>
        <v>159.64273459298269</v>
      </c>
      <c r="V9" s="20">
        <f ca="1">VLOOKUP(C9,INDIRECT(B9),13,FALSE)</f>
        <v>192.7</v>
      </c>
      <c r="W9" s="20">
        <f t="shared" ca="1" si="1"/>
        <v>28.333064468500304</v>
      </c>
      <c r="X9" s="15">
        <f t="shared" ca="1" si="2"/>
        <v>0.82845217744152932</v>
      </c>
      <c r="Z9" s="16">
        <v>1.2</v>
      </c>
      <c r="AA9" s="16">
        <v>1.5</v>
      </c>
      <c r="AB9" s="20">
        <f>G9*(Z9*E9+AA9*F9)</f>
        <v>22.814999999999994</v>
      </c>
      <c r="AC9" s="20">
        <f>AB9*D9^2/8</f>
        <v>208.47919218749996</v>
      </c>
      <c r="AD9" s="16">
        <v>355</v>
      </c>
      <c r="AE9" s="63">
        <v>1.05</v>
      </c>
      <c r="AF9" s="20">
        <f t="shared" si="3"/>
        <v>338.09523809523807</v>
      </c>
      <c r="AG9" s="20">
        <f>AC9*10^6/AF9/1000</f>
        <v>616.62859661091545</v>
      </c>
      <c r="AH9" s="20">
        <f ca="1">VLOOKUP(C9,INDIRECT(B9),15,FALSE)</f>
        <v>1376</v>
      </c>
      <c r="AI9" s="15">
        <f ca="1">AG9/AH9</f>
        <v>0.44813124753700251</v>
      </c>
    </row>
    <row r="11" spans="1:37" x14ac:dyDescent="0.25">
      <c r="A11" s="16" t="s">
        <v>228</v>
      </c>
      <c r="B11" s="17" t="s">
        <v>202</v>
      </c>
      <c r="C11" s="17" t="s">
        <v>187</v>
      </c>
      <c r="D11" s="34">
        <v>2.2999999999999998</v>
      </c>
      <c r="E11" s="34">
        <v>1.5</v>
      </c>
      <c r="F11" s="34">
        <v>2.4</v>
      </c>
      <c r="G11" s="34">
        <v>4.5999999999999996</v>
      </c>
      <c r="H11" s="15">
        <f ca="1">X11</f>
        <v>0.62518370909662802</v>
      </c>
      <c r="I11" s="15">
        <f ca="1">AI11</f>
        <v>0.62832794750916243</v>
      </c>
      <c r="J11" s="20">
        <f ca="1">VLOOKUP(C11,INDIRECT(B11),8,FALSE)</f>
        <v>12.9</v>
      </c>
      <c r="K11" s="32">
        <f ca="1">J11*D11</f>
        <v>29.669999999999998</v>
      </c>
      <c r="L11" s="35">
        <f ca="1">K11</f>
        <v>29.669999999999998</v>
      </c>
      <c r="M11" s="16">
        <v>1</v>
      </c>
      <c r="N11" s="16">
        <v>1</v>
      </c>
      <c r="O11" s="20">
        <f>G11*(M11*E11+N11*F11)</f>
        <v>17.939999999999998</v>
      </c>
      <c r="P11" s="16">
        <v>250</v>
      </c>
      <c r="Q11" s="16"/>
      <c r="R11" s="20">
        <f>D11*1000/P11</f>
        <v>9.1999999999999993</v>
      </c>
      <c r="S11" s="62">
        <v>5</v>
      </c>
      <c r="T11" s="62">
        <v>384</v>
      </c>
      <c r="U11" s="20">
        <f t="shared" ref="U11:U33" si="4">S11*O11*(D11*1000)^4/(T11*210000*R11)/(10^6)</f>
        <v>3.3834942336309517</v>
      </c>
      <c r="V11" s="20">
        <f ca="1">VLOOKUP(C11,INDIRECT(B11),13,FALSE)</f>
        <v>5.4119999999999999</v>
      </c>
      <c r="W11" s="20">
        <f t="shared" ref="W11:W13" ca="1" si="5">S11*O11*D11^4/(T11*210000*V11)*1000000</f>
        <v>5.7516901236889773</v>
      </c>
      <c r="X11" s="15">
        <f t="shared" ref="X11:X13" ca="1" si="6">W11/R11</f>
        <v>0.62518370909662802</v>
      </c>
      <c r="Z11" s="16">
        <v>1.2</v>
      </c>
      <c r="AA11" s="16">
        <v>1.5</v>
      </c>
      <c r="AB11" s="20">
        <f>G11*(Z11*E11+AA11*F11)</f>
        <v>24.839999999999996</v>
      </c>
      <c r="AC11" s="20">
        <f>AB11*D11^2/8</f>
        <v>16.425449999999994</v>
      </c>
      <c r="AD11" s="16">
        <v>355</v>
      </c>
      <c r="AE11" s="63">
        <v>1.05</v>
      </c>
      <c r="AF11" s="20">
        <f t="shared" ref="AF11:AF13" si="7">AD11/AE11</f>
        <v>338.09523809523807</v>
      </c>
      <c r="AG11" s="20">
        <f>AC11*10^6/AF11/1000</f>
        <v>48.582316901408433</v>
      </c>
      <c r="AH11" s="20">
        <f ca="1">VLOOKUP(C11,INDIRECT(B11),15,FALSE)</f>
        <v>77.319999999999993</v>
      </c>
      <c r="AI11" s="15">
        <f ca="1">AG11/AH11</f>
        <v>0.62832794750916243</v>
      </c>
    </row>
    <row r="12" spans="1:37" x14ac:dyDescent="0.25">
      <c r="A12" s="16" t="s">
        <v>228</v>
      </c>
      <c r="B12" s="17" t="s">
        <v>130</v>
      </c>
      <c r="C12" s="17" t="s">
        <v>85</v>
      </c>
      <c r="D12" s="16">
        <f t="shared" ref="D12:G13" si="8">D11</f>
        <v>2.2999999999999998</v>
      </c>
      <c r="E12" s="16">
        <f t="shared" si="8"/>
        <v>1.5</v>
      </c>
      <c r="F12" s="16">
        <f t="shared" si="8"/>
        <v>2.4</v>
      </c>
      <c r="G12" s="16">
        <f t="shared" si="8"/>
        <v>4.5999999999999996</v>
      </c>
      <c r="H12" s="15">
        <f ca="1">X12</f>
        <v>0.55814817446897902</v>
      </c>
      <c r="I12" s="15">
        <f ca="1">AI12</f>
        <v>0.45703026247797213</v>
      </c>
      <c r="J12" s="20">
        <f ca="1">VLOOKUP(C12,INDIRECT(B12),8,FALSE)</f>
        <v>19.899999999999999</v>
      </c>
      <c r="K12" s="32">
        <f ca="1">J12*D12</f>
        <v>45.769999999999996</v>
      </c>
      <c r="L12" s="35">
        <f ca="1">K12</f>
        <v>45.769999999999996</v>
      </c>
      <c r="M12" s="16">
        <v>1</v>
      </c>
      <c r="N12" s="16">
        <v>1</v>
      </c>
      <c r="O12" s="20">
        <f>G12*(M12*E12+N12*F12)</f>
        <v>17.939999999999998</v>
      </c>
      <c r="P12" s="16">
        <v>250</v>
      </c>
      <c r="Q12" s="16"/>
      <c r="R12" s="20">
        <f>D12*1000/P12</f>
        <v>9.1999999999999993</v>
      </c>
      <c r="S12" s="62">
        <v>5</v>
      </c>
      <c r="T12" s="62">
        <v>384</v>
      </c>
      <c r="U12" s="20">
        <f t="shared" si="4"/>
        <v>3.3834942336309517</v>
      </c>
      <c r="V12" s="20">
        <f ca="1">VLOOKUP(C12,INDIRECT(B12),13,FALSE)</f>
        <v>6.0620000000000003</v>
      </c>
      <c r="W12" s="20">
        <f t="shared" ca="1" si="5"/>
        <v>5.134963205114607</v>
      </c>
      <c r="X12" s="15">
        <f t="shared" ca="1" si="6"/>
        <v>0.55814817446897902</v>
      </c>
      <c r="Z12" s="16">
        <v>1.2</v>
      </c>
      <c r="AA12" s="16">
        <v>1.5</v>
      </c>
      <c r="AB12" s="20">
        <f>G12*(Z12*E12+AA12*F12)</f>
        <v>24.839999999999996</v>
      </c>
      <c r="AC12" s="20">
        <f>AB12*D12^2/8</f>
        <v>16.425449999999994</v>
      </c>
      <c r="AD12" s="16">
        <v>355</v>
      </c>
      <c r="AE12" s="63">
        <v>1.05</v>
      </c>
      <c r="AF12" s="20">
        <f t="shared" si="7"/>
        <v>338.09523809523807</v>
      </c>
      <c r="AG12" s="20">
        <f>AC12*10^6/AF12/1000</f>
        <v>48.582316901408433</v>
      </c>
      <c r="AH12" s="20">
        <f ca="1">VLOOKUP(C12,INDIRECT(B12),15,FALSE)</f>
        <v>106.3</v>
      </c>
      <c r="AI12" s="15">
        <f ca="1">AG12/AH12</f>
        <v>0.45703026247797213</v>
      </c>
    </row>
    <row r="13" spans="1:37" x14ac:dyDescent="0.25">
      <c r="A13" s="16" t="s">
        <v>228</v>
      </c>
      <c r="B13" s="17" t="s">
        <v>170</v>
      </c>
      <c r="C13" s="17" t="s">
        <v>146</v>
      </c>
      <c r="D13" s="16">
        <f t="shared" si="8"/>
        <v>2.2999999999999998</v>
      </c>
      <c r="E13" s="16">
        <f t="shared" si="8"/>
        <v>1.5</v>
      </c>
      <c r="F13" s="16">
        <f t="shared" si="8"/>
        <v>2.4</v>
      </c>
      <c r="G13" s="16">
        <f t="shared" si="8"/>
        <v>4.5999999999999996</v>
      </c>
      <c r="H13" s="15">
        <f ca="1">X13</f>
        <v>0.75272396743736403</v>
      </c>
      <c r="I13" s="15">
        <f ca="1">AI13</f>
        <v>0.54034386499175213</v>
      </c>
      <c r="J13" s="20">
        <f ca="1">VLOOKUP(C13,INDIRECT(B13),8,FALSE)</f>
        <v>20.399999999999999</v>
      </c>
      <c r="K13" s="32">
        <f ca="1">J13*D13</f>
        <v>46.919999999999995</v>
      </c>
      <c r="L13" s="35">
        <f ca="1">K13</f>
        <v>46.919999999999995</v>
      </c>
      <c r="M13" s="16">
        <v>1</v>
      </c>
      <c r="N13" s="16">
        <v>1</v>
      </c>
      <c r="O13" s="20">
        <f>G13*(M13*E13+N13*F13)</f>
        <v>17.939999999999998</v>
      </c>
      <c r="P13" s="16">
        <v>250</v>
      </c>
      <c r="Q13" s="16"/>
      <c r="R13" s="20">
        <f>D13*1000/P13</f>
        <v>9.1999999999999993</v>
      </c>
      <c r="S13" s="62">
        <v>5</v>
      </c>
      <c r="T13" s="62">
        <v>384</v>
      </c>
      <c r="U13" s="20">
        <f t="shared" si="4"/>
        <v>3.3834942336309517</v>
      </c>
      <c r="V13" s="20">
        <f ca="1">VLOOKUP(C13,INDIRECT(B13),13,FALSE)</f>
        <v>4.4950000000000001</v>
      </c>
      <c r="W13" s="20">
        <f t="shared" ca="1" si="5"/>
        <v>6.9250605004237489</v>
      </c>
      <c r="X13" s="15">
        <f t="shared" ca="1" si="6"/>
        <v>0.75272396743736403</v>
      </c>
      <c r="Z13" s="16">
        <v>1.2</v>
      </c>
      <c r="AA13" s="16">
        <v>1.5</v>
      </c>
      <c r="AB13" s="20">
        <f>G13*(Z13*E13+AA13*F13)</f>
        <v>24.839999999999996</v>
      </c>
      <c r="AC13" s="20">
        <f>AB13*D13^2/8</f>
        <v>16.425449999999994</v>
      </c>
      <c r="AD13" s="16">
        <v>355</v>
      </c>
      <c r="AE13" s="63">
        <v>1.05</v>
      </c>
      <c r="AF13" s="20">
        <f t="shared" si="7"/>
        <v>338.09523809523807</v>
      </c>
      <c r="AG13" s="20">
        <f>AC13*10^6/AF13/1000</f>
        <v>48.582316901408433</v>
      </c>
      <c r="AH13" s="20">
        <f ca="1">VLOOKUP(C13,INDIRECT(B13),15,FALSE)</f>
        <v>89.91</v>
      </c>
      <c r="AI13" s="15">
        <f ca="1">AG13/AH13</f>
        <v>0.54034386499175213</v>
      </c>
    </row>
    <row r="15" spans="1:37" x14ac:dyDescent="0.25">
      <c r="A15" s="16" t="s">
        <v>231</v>
      </c>
      <c r="B15" s="17" t="s">
        <v>202</v>
      </c>
      <c r="C15" s="17" t="s">
        <v>195</v>
      </c>
      <c r="D15" s="34">
        <v>7.1</v>
      </c>
      <c r="E15" s="34">
        <v>1.5</v>
      </c>
      <c r="F15" s="34">
        <v>2.4</v>
      </c>
      <c r="G15" s="34">
        <f>10.4/2</f>
        <v>5.2</v>
      </c>
      <c r="H15" s="15">
        <f ca="1">X15</f>
        <v>0.95592986039466765</v>
      </c>
      <c r="I15" s="15">
        <f ca="1">AI15</f>
        <v>0.73389566680689933</v>
      </c>
      <c r="J15" s="20">
        <f ca="1">VLOOKUP(C15,INDIRECT(B15),8,FALSE)</f>
        <v>49.1</v>
      </c>
      <c r="K15" s="32">
        <f ca="1">J15*D15</f>
        <v>348.61</v>
      </c>
      <c r="L15" s="35">
        <f ca="1">K15</f>
        <v>348.61</v>
      </c>
      <c r="M15" s="16">
        <v>1</v>
      </c>
      <c r="N15" s="16">
        <v>1</v>
      </c>
      <c r="O15" s="20">
        <f>G15*(M15*E15+N15*F15)</f>
        <v>20.28</v>
      </c>
      <c r="P15" s="16">
        <v>250</v>
      </c>
      <c r="Q15" s="16"/>
      <c r="R15" s="20">
        <f>D15*1000/P15</f>
        <v>28.4</v>
      </c>
      <c r="S15" s="62">
        <v>5</v>
      </c>
      <c r="T15" s="62">
        <v>384</v>
      </c>
      <c r="U15" s="20">
        <f t="shared" si="4"/>
        <v>112.51294456845238</v>
      </c>
      <c r="V15" s="20">
        <f ca="1">VLOOKUP(C15,INDIRECT(B15),13,FALSE)</f>
        <v>117.7</v>
      </c>
      <c r="W15" s="20">
        <f t="shared" ref="W15:W17" ca="1" si="9">S15*O15*D15^4/(T15*210000*V15)*1000000</f>
        <v>27.148408035208561</v>
      </c>
      <c r="X15" s="15">
        <f t="shared" ref="X15:X17" ca="1" si="10">W15/R15</f>
        <v>0.95592986039466765</v>
      </c>
      <c r="Z15" s="16">
        <v>1.2</v>
      </c>
      <c r="AA15" s="16">
        <v>1.5</v>
      </c>
      <c r="AB15" s="20">
        <f>G15*(Z15*E15+AA15*F15)</f>
        <v>28.08</v>
      </c>
      <c r="AC15" s="20">
        <f>AB15*D15^2/8</f>
        <v>176.93909999999997</v>
      </c>
      <c r="AD15" s="16">
        <v>355</v>
      </c>
      <c r="AE15" s="63">
        <v>1.05</v>
      </c>
      <c r="AF15" s="20">
        <f t="shared" ref="AF15:AF17" si="11">AD15/AE15</f>
        <v>338.09523809523807</v>
      </c>
      <c r="AG15" s="20">
        <f>AC15*10^6/AF15/1000</f>
        <v>523.34099999999989</v>
      </c>
      <c r="AH15" s="20">
        <f ca="1">VLOOKUP(C15,INDIRECT(B15),15,FALSE)</f>
        <v>713.1</v>
      </c>
      <c r="AI15" s="15">
        <f ca="1">AG15/AH15</f>
        <v>0.73389566680689933</v>
      </c>
    </row>
    <row r="16" spans="1:37" x14ac:dyDescent="0.25">
      <c r="A16" s="16" t="s">
        <v>231</v>
      </c>
      <c r="B16" s="17" t="s">
        <v>130</v>
      </c>
      <c r="C16" s="17" t="s">
        <v>93</v>
      </c>
      <c r="D16" s="16">
        <f t="shared" ref="D16:G17" si="12">D15</f>
        <v>7.1</v>
      </c>
      <c r="E16" s="16">
        <f t="shared" si="12"/>
        <v>1.5</v>
      </c>
      <c r="F16" s="16">
        <f t="shared" si="12"/>
        <v>2.4</v>
      </c>
      <c r="G16" s="16">
        <f t="shared" si="12"/>
        <v>5.2</v>
      </c>
      <c r="H16" s="15">
        <f ca="1">X16</f>
        <v>0.82306470057390191</v>
      </c>
      <c r="I16" s="15">
        <f ca="1">AI16</f>
        <v>0.51662487660414602</v>
      </c>
      <c r="J16" s="20">
        <f ca="1">VLOOKUP(C16,INDIRECT(B16),8,FALSE)</f>
        <v>76.400000000000006</v>
      </c>
      <c r="K16" s="32">
        <f ca="1">J16*D16</f>
        <v>542.44000000000005</v>
      </c>
      <c r="L16" s="35">
        <f ca="1">K16</f>
        <v>542.44000000000005</v>
      </c>
      <c r="M16" s="16">
        <v>1</v>
      </c>
      <c r="N16" s="16">
        <v>1</v>
      </c>
      <c r="O16" s="20">
        <f>G16*(M16*E16+N16*F16)</f>
        <v>20.28</v>
      </c>
      <c r="P16" s="16">
        <v>250</v>
      </c>
      <c r="Q16" s="16"/>
      <c r="R16" s="20">
        <f>D16*1000/P16</f>
        <v>28.4</v>
      </c>
      <c r="S16" s="62">
        <v>5</v>
      </c>
      <c r="T16" s="62">
        <v>384</v>
      </c>
      <c r="U16" s="20">
        <f t="shared" si="4"/>
        <v>112.51294456845238</v>
      </c>
      <c r="V16" s="20">
        <f ca="1">VLOOKUP(C16,INDIRECT(B16),13,FALSE)</f>
        <v>136.69999999999999</v>
      </c>
      <c r="W16" s="20">
        <f t="shared" ca="1" si="9"/>
        <v>23.375037496298813</v>
      </c>
      <c r="X16" s="15">
        <f t="shared" ca="1" si="10"/>
        <v>0.82306470057390191</v>
      </c>
      <c r="Z16" s="16">
        <v>1.2</v>
      </c>
      <c r="AA16" s="16">
        <v>1.5</v>
      </c>
      <c r="AB16" s="20">
        <f>G16*(Z16*E16+AA16*F16)</f>
        <v>28.08</v>
      </c>
      <c r="AC16" s="20">
        <f>AB16*D16^2/8</f>
        <v>176.93909999999997</v>
      </c>
      <c r="AD16" s="16">
        <v>355</v>
      </c>
      <c r="AE16" s="63">
        <v>1.05</v>
      </c>
      <c r="AF16" s="20">
        <f t="shared" si="11"/>
        <v>338.09523809523807</v>
      </c>
      <c r="AG16" s="20">
        <f>AC16*10^6/AF16/1000</f>
        <v>523.34099999999989</v>
      </c>
      <c r="AH16" s="20">
        <f ca="1">VLOOKUP(C16,INDIRECT(B16),15,FALSE)</f>
        <v>1013</v>
      </c>
      <c r="AI16" s="15">
        <f ca="1">AG16/AH16</f>
        <v>0.51662487660414602</v>
      </c>
    </row>
    <row r="17" spans="1:35" x14ac:dyDescent="0.25">
      <c r="A17" s="16" t="s">
        <v>231</v>
      </c>
      <c r="B17" s="17" t="s">
        <v>170</v>
      </c>
      <c r="C17" s="17" t="s">
        <v>154</v>
      </c>
      <c r="D17" s="16">
        <f t="shared" si="12"/>
        <v>7.1</v>
      </c>
      <c r="E17" s="16">
        <f t="shared" si="12"/>
        <v>1.5</v>
      </c>
      <c r="F17" s="16">
        <f t="shared" si="12"/>
        <v>2.4</v>
      </c>
      <c r="G17" s="16">
        <f t="shared" si="12"/>
        <v>5.2</v>
      </c>
      <c r="H17" s="15">
        <f ca="1">X17</f>
        <v>0.75410820756335384</v>
      </c>
      <c r="I17" s="15">
        <f ca="1">AI17</f>
        <v>0.45587195121951213</v>
      </c>
      <c r="J17" s="20">
        <f ca="1">VLOOKUP(C17,INDIRECT(B17),8,FALSE)</f>
        <v>93</v>
      </c>
      <c r="K17" s="32">
        <f ca="1">J17*D17</f>
        <v>660.3</v>
      </c>
      <c r="L17" s="35">
        <f ca="1">K17</f>
        <v>660.3</v>
      </c>
      <c r="M17" s="16">
        <v>1</v>
      </c>
      <c r="N17" s="16">
        <v>1</v>
      </c>
      <c r="O17" s="20">
        <f>G17*(M17*E17+N17*F17)</f>
        <v>20.28</v>
      </c>
      <c r="P17" s="16">
        <v>250</v>
      </c>
      <c r="Q17" s="16"/>
      <c r="R17" s="20">
        <f>D17*1000/P17</f>
        <v>28.4</v>
      </c>
      <c r="S17" s="62">
        <v>5</v>
      </c>
      <c r="T17" s="62">
        <v>384</v>
      </c>
      <c r="U17" s="20">
        <f t="shared" si="4"/>
        <v>112.51294456845238</v>
      </c>
      <c r="V17" s="20">
        <f ca="1">VLOOKUP(C17,INDIRECT(B17),13,FALSE)</f>
        <v>149.19999999999999</v>
      </c>
      <c r="W17" s="20">
        <f t="shared" ca="1" si="9"/>
        <v>21.416673094799247</v>
      </c>
      <c r="X17" s="15">
        <f t="shared" ca="1" si="10"/>
        <v>0.75410820756335384</v>
      </c>
      <c r="Z17" s="16">
        <v>1.2</v>
      </c>
      <c r="AA17" s="16">
        <v>1.5</v>
      </c>
      <c r="AB17" s="20">
        <f>G17*(Z17*E17+AA17*F17)</f>
        <v>28.08</v>
      </c>
      <c r="AC17" s="20">
        <f>AB17*D17^2/8</f>
        <v>176.93909999999997</v>
      </c>
      <c r="AD17" s="16">
        <v>355</v>
      </c>
      <c r="AE17" s="63">
        <v>1.05</v>
      </c>
      <c r="AF17" s="20">
        <f t="shared" si="11"/>
        <v>338.09523809523807</v>
      </c>
      <c r="AG17" s="20">
        <f>AC17*10^6/AF17/1000</f>
        <v>523.34099999999989</v>
      </c>
      <c r="AH17" s="20">
        <f ca="1">VLOOKUP(C17,INDIRECT(B17),15,FALSE)</f>
        <v>1148</v>
      </c>
      <c r="AI17" s="15">
        <f ca="1">AG17/AH17</f>
        <v>0.45587195121951213</v>
      </c>
    </row>
    <row r="19" spans="1:35" x14ac:dyDescent="0.25">
      <c r="A19" s="16" t="s">
        <v>205</v>
      </c>
      <c r="B19" s="17" t="s">
        <v>202</v>
      </c>
      <c r="C19" s="17" t="s">
        <v>192</v>
      </c>
      <c r="D19" s="34">
        <v>5.0999999999999996</v>
      </c>
      <c r="E19" s="34">
        <v>1.5</v>
      </c>
      <c r="F19" s="34">
        <v>2.4</v>
      </c>
      <c r="G19" s="34">
        <f>AVERAGE(4.2,3.5)</f>
        <v>3.85</v>
      </c>
      <c r="H19" s="15">
        <f ca="1">X19</f>
        <v>0.79327273393338904</v>
      </c>
      <c r="I19" s="15">
        <f ca="1">AI19</f>
        <v>0.61647980156610338</v>
      </c>
      <c r="J19" s="20">
        <f ca="1">VLOOKUP(C19,INDIRECT(B19),8,FALSE)</f>
        <v>30.7</v>
      </c>
      <c r="K19" s="32">
        <f ca="1">J19*D19</f>
        <v>156.57</v>
      </c>
      <c r="L19" s="35">
        <f ca="1">K19</f>
        <v>156.57</v>
      </c>
      <c r="M19" s="16">
        <v>1</v>
      </c>
      <c r="N19" s="16">
        <v>1</v>
      </c>
      <c r="O19" s="20">
        <f>G19*(M19*E19+N19*F19)</f>
        <v>15.015000000000001</v>
      </c>
      <c r="P19" s="16">
        <v>250</v>
      </c>
      <c r="Q19" s="16"/>
      <c r="R19" s="20">
        <f>D19*1000/P19</f>
        <v>20.399999999999999</v>
      </c>
      <c r="S19" s="62">
        <v>5</v>
      </c>
      <c r="T19" s="62">
        <v>384</v>
      </c>
      <c r="U19" s="20">
        <f t="shared" si="4"/>
        <v>30.874174804687499</v>
      </c>
      <c r="V19" s="20">
        <f ca="1">VLOOKUP(C19,INDIRECT(B19),13,FALSE)</f>
        <v>38.92</v>
      </c>
      <c r="W19" s="20">
        <f t="shared" ref="W19:W21" ca="1" si="13">S19*O19*D19^4/(T19*210000*V19)*1000000</f>
        <v>16.182763772241135</v>
      </c>
      <c r="X19" s="15">
        <f t="shared" ref="X19:X21" ca="1" si="14">W19/R19</f>
        <v>0.79327273393338904</v>
      </c>
      <c r="Z19" s="16">
        <v>1.2</v>
      </c>
      <c r="AA19" s="16">
        <v>1.5</v>
      </c>
      <c r="AB19" s="20">
        <f>G19*(Z19*E19+AA19*F19)</f>
        <v>20.79</v>
      </c>
      <c r="AC19" s="20">
        <f>AB19*D19^2/8</f>
        <v>67.593487499999995</v>
      </c>
      <c r="AD19" s="16">
        <v>355</v>
      </c>
      <c r="AE19" s="63">
        <v>1.05</v>
      </c>
      <c r="AF19" s="20">
        <f t="shared" ref="AF19:AF21" si="15">AD19/AE19</f>
        <v>338.09523809523807</v>
      </c>
      <c r="AG19" s="20">
        <f>AC19*10^6/AF19/1000</f>
        <v>199.92439964788733</v>
      </c>
      <c r="AH19" s="20">
        <f ca="1">VLOOKUP(C19,INDIRECT(B19),15,FALSE)</f>
        <v>324.3</v>
      </c>
      <c r="AI19" s="15">
        <f ca="1">AG19/AH19</f>
        <v>0.61647980156610338</v>
      </c>
    </row>
    <row r="20" spans="1:35" x14ac:dyDescent="0.25">
      <c r="A20" s="16" t="str">
        <f>A19</f>
        <v>B1</v>
      </c>
      <c r="B20" s="17" t="s">
        <v>130</v>
      </c>
      <c r="C20" s="17" t="s">
        <v>89</v>
      </c>
      <c r="D20" s="16">
        <f t="shared" ref="D20:G21" si="16">D19</f>
        <v>5.0999999999999996</v>
      </c>
      <c r="E20" s="16">
        <f t="shared" si="16"/>
        <v>1.5</v>
      </c>
      <c r="F20" s="16">
        <f t="shared" si="16"/>
        <v>2.4</v>
      </c>
      <c r="G20" s="16">
        <f t="shared" si="16"/>
        <v>3.85</v>
      </c>
      <c r="H20" s="15">
        <f ca="1">X20</f>
        <v>0.83624525473151412</v>
      </c>
      <c r="I20" s="15">
        <f ca="1">AI20</f>
        <v>0.51447349368987982</v>
      </c>
      <c r="J20" s="20">
        <f ca="1">VLOOKUP(C20,INDIRECT(B20),8,FALSE)</f>
        <v>42.3</v>
      </c>
      <c r="K20" s="32">
        <f ca="1">J20*D20</f>
        <v>215.72999999999996</v>
      </c>
      <c r="L20" s="35">
        <f ca="1">K20</f>
        <v>215.72999999999996</v>
      </c>
      <c r="M20" s="16">
        <v>1</v>
      </c>
      <c r="N20" s="16">
        <v>1</v>
      </c>
      <c r="O20" s="20">
        <f>G20*(M20*E20+N20*F20)</f>
        <v>15.015000000000001</v>
      </c>
      <c r="P20" s="16">
        <v>250</v>
      </c>
      <c r="Q20" s="16"/>
      <c r="R20" s="20">
        <f>D20*1000/P20</f>
        <v>20.399999999999999</v>
      </c>
      <c r="S20" s="62">
        <v>5</v>
      </c>
      <c r="T20" s="62">
        <v>384</v>
      </c>
      <c r="U20" s="20">
        <f t="shared" si="4"/>
        <v>30.874174804687499</v>
      </c>
      <c r="V20" s="20">
        <f ca="1">VLOOKUP(C20,INDIRECT(B20),13,FALSE)</f>
        <v>36.92</v>
      </c>
      <c r="W20" s="20">
        <f t="shared" ca="1" si="13"/>
        <v>17.059403196522887</v>
      </c>
      <c r="X20" s="15">
        <f t="shared" ca="1" si="14"/>
        <v>0.83624525473151412</v>
      </c>
      <c r="Z20" s="16">
        <v>1.2</v>
      </c>
      <c r="AA20" s="16">
        <v>1.5</v>
      </c>
      <c r="AB20" s="20">
        <f>G20*(Z20*E20+AA20*F20)</f>
        <v>20.79</v>
      </c>
      <c r="AC20" s="20">
        <f>AB20*D20^2/8</f>
        <v>67.593487499999995</v>
      </c>
      <c r="AD20" s="16">
        <v>355</v>
      </c>
      <c r="AE20" s="63">
        <v>1.05</v>
      </c>
      <c r="AF20" s="20">
        <f t="shared" si="15"/>
        <v>338.09523809523807</v>
      </c>
      <c r="AG20" s="20">
        <f>AC20*10^6/AF20/1000</f>
        <v>199.92439964788733</v>
      </c>
      <c r="AH20" s="20">
        <f ca="1">VLOOKUP(C20,INDIRECT(B20),15,FALSE)</f>
        <v>388.6</v>
      </c>
      <c r="AI20" s="15">
        <f ca="1">AG20/AH20</f>
        <v>0.51447349368987982</v>
      </c>
    </row>
    <row r="21" spans="1:35" x14ac:dyDescent="0.25">
      <c r="A21" s="16" t="str">
        <f>A20</f>
        <v>B1</v>
      </c>
      <c r="B21" s="17" t="s">
        <v>170</v>
      </c>
      <c r="C21" s="17" t="s">
        <v>150</v>
      </c>
      <c r="D21" s="16">
        <f t="shared" si="16"/>
        <v>5.0999999999999996</v>
      </c>
      <c r="E21" s="16">
        <f t="shared" si="16"/>
        <v>1.5</v>
      </c>
      <c r="F21" s="16">
        <f t="shared" si="16"/>
        <v>2.4</v>
      </c>
      <c r="G21" s="16">
        <f t="shared" si="16"/>
        <v>3.85</v>
      </c>
      <c r="H21" s="15">
        <f ca="1">X21</f>
        <v>0.80590380591718869</v>
      </c>
      <c r="I21" s="15">
        <f ca="1">AI21</f>
        <v>0.46963683262364891</v>
      </c>
      <c r="J21" s="20">
        <f ca="1">VLOOKUP(C21,INDIRECT(B21),8,FALSE)</f>
        <v>51.2</v>
      </c>
      <c r="K21" s="32">
        <f ca="1">J21*D21</f>
        <v>261.12</v>
      </c>
      <c r="L21" s="35">
        <f ca="1">K21</f>
        <v>261.12</v>
      </c>
      <c r="M21" s="16">
        <v>1</v>
      </c>
      <c r="N21" s="16">
        <v>1</v>
      </c>
      <c r="O21" s="20">
        <f>G21*(M21*E21+N21*F21)</f>
        <v>15.015000000000001</v>
      </c>
      <c r="P21" s="16">
        <v>250</v>
      </c>
      <c r="Q21" s="16"/>
      <c r="R21" s="20">
        <f>D21*1000/P21</f>
        <v>20.399999999999999</v>
      </c>
      <c r="S21" s="62">
        <v>5</v>
      </c>
      <c r="T21" s="62">
        <v>384</v>
      </c>
      <c r="U21" s="20">
        <f t="shared" si="4"/>
        <v>30.874174804687499</v>
      </c>
      <c r="V21" s="20">
        <f ca="1">VLOOKUP(C21,INDIRECT(B21),13,FALSE)</f>
        <v>38.31</v>
      </c>
      <c r="W21" s="20">
        <f t="shared" ca="1" si="13"/>
        <v>16.440437640710648</v>
      </c>
      <c r="X21" s="15">
        <f t="shared" ca="1" si="14"/>
        <v>0.80590380591718869</v>
      </c>
      <c r="Z21" s="16">
        <v>1.2</v>
      </c>
      <c r="AA21" s="16">
        <v>1.5</v>
      </c>
      <c r="AB21" s="20">
        <f>G21*(Z21*E21+AA21*F21)</f>
        <v>20.79</v>
      </c>
      <c r="AC21" s="20">
        <f>AB21*D21^2/8</f>
        <v>67.593487499999995</v>
      </c>
      <c r="AD21" s="16">
        <v>355</v>
      </c>
      <c r="AE21" s="63">
        <v>1.05</v>
      </c>
      <c r="AF21" s="20">
        <f t="shared" si="15"/>
        <v>338.09523809523807</v>
      </c>
      <c r="AG21" s="20">
        <f>AC21*10^6/AF21/1000</f>
        <v>199.92439964788733</v>
      </c>
      <c r="AH21" s="20">
        <f ca="1">VLOOKUP(C21,INDIRECT(B21),15,FALSE)</f>
        <v>425.7</v>
      </c>
      <c r="AI21" s="15">
        <f ca="1">AG21/AH21</f>
        <v>0.46963683262364891</v>
      </c>
    </row>
    <row r="23" spans="1:35" x14ac:dyDescent="0.25">
      <c r="A23" s="16" t="s">
        <v>237</v>
      </c>
      <c r="B23" s="17" t="s">
        <v>202</v>
      </c>
      <c r="C23" s="17" t="s">
        <v>195</v>
      </c>
      <c r="D23" s="34">
        <v>7.4</v>
      </c>
      <c r="E23" s="34">
        <v>1.5</v>
      </c>
      <c r="F23" s="34">
        <v>2.4</v>
      </c>
      <c r="G23" s="34">
        <f>AVERAGE(4.2,3.5)</f>
        <v>3.85</v>
      </c>
      <c r="H23" s="15">
        <f ca="1">X23</f>
        <v>0.80131546923676022</v>
      </c>
      <c r="I23" s="15">
        <f ca="1">AI23</f>
        <v>0.59025333744156161</v>
      </c>
      <c r="J23" s="20">
        <f ca="1">VLOOKUP(C23,INDIRECT(B23),8,FALSE)</f>
        <v>49.1</v>
      </c>
      <c r="K23" s="32">
        <f ca="1">J23*D23</f>
        <v>363.34000000000003</v>
      </c>
      <c r="L23" s="35">
        <f ca="1">K23</f>
        <v>363.34000000000003</v>
      </c>
      <c r="M23" s="16">
        <v>1</v>
      </c>
      <c r="N23" s="16">
        <v>1</v>
      </c>
      <c r="O23" s="20">
        <f>G23*(M23*E23+N23*F23)</f>
        <v>15.015000000000001</v>
      </c>
      <c r="P23" s="16">
        <v>250</v>
      </c>
      <c r="Q23" s="16"/>
      <c r="R23" s="20">
        <f>D23*1000/P23</f>
        <v>29.6</v>
      </c>
      <c r="S23" s="62">
        <v>5</v>
      </c>
      <c r="T23" s="62">
        <v>384</v>
      </c>
      <c r="U23" s="20">
        <f t="shared" si="4"/>
        <v>94.314830729166673</v>
      </c>
      <c r="V23" s="20">
        <f ca="1">VLOOKUP(C23,INDIRECT(B23),13,FALSE)</f>
        <v>117.7</v>
      </c>
      <c r="W23" s="20">
        <f t="shared" ref="W23:W25" ca="1" si="17">S23*O23*D23^4/(T23*210000*V23)*1000000</f>
        <v>23.718937889408103</v>
      </c>
      <c r="X23" s="15">
        <f t="shared" ref="X23:X25" ca="1" si="18">W23/R23</f>
        <v>0.80131546923676022</v>
      </c>
      <c r="Z23" s="16">
        <v>1.2</v>
      </c>
      <c r="AA23" s="16">
        <v>1.5</v>
      </c>
      <c r="AB23" s="20">
        <f>G23*(Z23*E23+AA23*F23)</f>
        <v>20.79</v>
      </c>
      <c r="AC23" s="20">
        <f>AB23*D23^2/8</f>
        <v>142.30755000000002</v>
      </c>
      <c r="AD23" s="16">
        <v>355</v>
      </c>
      <c r="AE23" s="63">
        <v>1.05</v>
      </c>
      <c r="AF23" s="20">
        <f t="shared" ref="AF23:AF25" si="19">AD23/AE23</f>
        <v>338.09523809523807</v>
      </c>
      <c r="AG23" s="20">
        <f>AC23*10^6/AF23/1000</f>
        <v>420.90965492957758</v>
      </c>
      <c r="AH23" s="20">
        <f ca="1">VLOOKUP(C23,INDIRECT(B23),15,FALSE)</f>
        <v>713.1</v>
      </c>
      <c r="AI23" s="15">
        <f ca="1">AG23/AH23</f>
        <v>0.59025333744156161</v>
      </c>
    </row>
    <row r="24" spans="1:35" x14ac:dyDescent="0.25">
      <c r="A24" s="16" t="str">
        <f>A23</f>
        <v>B2</v>
      </c>
      <c r="B24" s="17" t="s">
        <v>130</v>
      </c>
      <c r="C24" s="17" t="s">
        <v>93</v>
      </c>
      <c r="D24" s="16">
        <f t="shared" ref="D24:G25" si="20">D23</f>
        <v>7.4</v>
      </c>
      <c r="E24" s="16">
        <f t="shared" si="20"/>
        <v>1.5</v>
      </c>
      <c r="F24" s="16">
        <f t="shared" si="20"/>
        <v>2.4</v>
      </c>
      <c r="G24" s="16">
        <f t="shared" si="20"/>
        <v>3.85</v>
      </c>
      <c r="H24" s="15">
        <f ca="1">X24</f>
        <v>0.6899402394233114</v>
      </c>
      <c r="I24" s="15">
        <f ca="1">AI24</f>
        <v>0.41550805027598969</v>
      </c>
      <c r="J24" s="20">
        <f ca="1">VLOOKUP(C24,INDIRECT(B24),8,FALSE)</f>
        <v>76.400000000000006</v>
      </c>
      <c r="K24" s="32">
        <f ca="1">J24*D24</f>
        <v>565.36</v>
      </c>
      <c r="L24" s="35">
        <f ca="1">K24</f>
        <v>565.36</v>
      </c>
      <c r="M24" s="16">
        <v>1</v>
      </c>
      <c r="N24" s="16">
        <v>1</v>
      </c>
      <c r="O24" s="20">
        <f>G24*(M24*E24+N24*F24)</f>
        <v>15.015000000000001</v>
      </c>
      <c r="P24" s="16">
        <v>250</v>
      </c>
      <c r="Q24" s="16"/>
      <c r="R24" s="20">
        <f>D24*1000/P24</f>
        <v>29.6</v>
      </c>
      <c r="S24" s="62">
        <v>5</v>
      </c>
      <c r="T24" s="62">
        <v>384</v>
      </c>
      <c r="U24" s="20">
        <f t="shared" si="4"/>
        <v>94.314830729166673</v>
      </c>
      <c r="V24" s="20">
        <f ca="1">VLOOKUP(C24,INDIRECT(B24),13,FALSE)</f>
        <v>136.69999999999999</v>
      </c>
      <c r="W24" s="20">
        <f t="shared" ca="1" si="17"/>
        <v>20.422231086930019</v>
      </c>
      <c r="X24" s="15">
        <f t="shared" ca="1" si="18"/>
        <v>0.6899402394233114</v>
      </c>
      <c r="Z24" s="16">
        <v>1.2</v>
      </c>
      <c r="AA24" s="16">
        <v>1.5</v>
      </c>
      <c r="AB24" s="20">
        <f>G24*(Z24*E24+AA24*F24)</f>
        <v>20.79</v>
      </c>
      <c r="AC24" s="20">
        <f>AB24*D24^2/8</f>
        <v>142.30755000000002</v>
      </c>
      <c r="AD24" s="16">
        <v>355</v>
      </c>
      <c r="AE24" s="63">
        <v>1.05</v>
      </c>
      <c r="AF24" s="20">
        <f t="shared" si="19"/>
        <v>338.09523809523807</v>
      </c>
      <c r="AG24" s="20">
        <f>AC24*10^6/AF24/1000</f>
        <v>420.90965492957758</v>
      </c>
      <c r="AH24" s="20">
        <f ca="1">VLOOKUP(C24,INDIRECT(B24),15,FALSE)</f>
        <v>1013</v>
      </c>
      <c r="AI24" s="15">
        <f ca="1">AG24/AH24</f>
        <v>0.41550805027598969</v>
      </c>
    </row>
    <row r="25" spans="1:35" x14ac:dyDescent="0.25">
      <c r="A25" s="16" t="str">
        <f>A24</f>
        <v>B2</v>
      </c>
      <c r="B25" s="17" t="s">
        <v>170</v>
      </c>
      <c r="C25" s="17" t="s">
        <v>154</v>
      </c>
      <c r="D25" s="16">
        <f t="shared" si="20"/>
        <v>7.4</v>
      </c>
      <c r="E25" s="16">
        <f t="shared" si="20"/>
        <v>1.5</v>
      </c>
      <c r="F25" s="16">
        <f t="shared" si="20"/>
        <v>2.4</v>
      </c>
      <c r="G25" s="16">
        <f t="shared" si="20"/>
        <v>3.85</v>
      </c>
      <c r="H25" s="15">
        <f ca="1">X25</f>
        <v>0.63213693518208236</v>
      </c>
      <c r="I25" s="15">
        <f ca="1">AI25</f>
        <v>0.36664604087942299</v>
      </c>
      <c r="J25" s="20">
        <f ca="1">VLOOKUP(C25,INDIRECT(B25),8,FALSE)</f>
        <v>93</v>
      </c>
      <c r="K25" s="32">
        <f ca="1">J25*D25</f>
        <v>688.2</v>
      </c>
      <c r="L25" s="35">
        <f ca="1">K25</f>
        <v>688.2</v>
      </c>
      <c r="M25" s="16">
        <v>1</v>
      </c>
      <c r="N25" s="16">
        <v>1</v>
      </c>
      <c r="O25" s="20">
        <f>G25*(M25*E25+N25*F25)</f>
        <v>15.015000000000001</v>
      </c>
      <c r="P25" s="16">
        <v>250</v>
      </c>
      <c r="Q25" s="16"/>
      <c r="R25" s="20">
        <f>D25*1000/P25</f>
        <v>29.6</v>
      </c>
      <c r="S25" s="62">
        <v>5</v>
      </c>
      <c r="T25" s="62">
        <v>384</v>
      </c>
      <c r="U25" s="20">
        <f t="shared" si="4"/>
        <v>94.314830729166673</v>
      </c>
      <c r="V25" s="20">
        <f ca="1">VLOOKUP(C25,INDIRECT(B25),13,FALSE)</f>
        <v>149.19999999999999</v>
      </c>
      <c r="W25" s="20">
        <f t="shared" ca="1" si="17"/>
        <v>18.711253281389638</v>
      </c>
      <c r="X25" s="15">
        <f t="shared" ca="1" si="18"/>
        <v>0.63213693518208236</v>
      </c>
      <c r="Z25" s="16">
        <v>1.2</v>
      </c>
      <c r="AA25" s="16">
        <v>1.5</v>
      </c>
      <c r="AB25" s="20">
        <f>G25*(Z25*E25+AA25*F25)</f>
        <v>20.79</v>
      </c>
      <c r="AC25" s="20">
        <f>AB25*D25^2/8</f>
        <v>142.30755000000002</v>
      </c>
      <c r="AD25" s="16">
        <v>355</v>
      </c>
      <c r="AE25" s="63">
        <v>1.05</v>
      </c>
      <c r="AF25" s="20">
        <f t="shared" si="19"/>
        <v>338.09523809523807</v>
      </c>
      <c r="AG25" s="20">
        <f>AC25*10^6/AF25/1000</f>
        <v>420.90965492957758</v>
      </c>
      <c r="AH25" s="20">
        <f ca="1">VLOOKUP(C25,INDIRECT(B25),15,FALSE)</f>
        <v>1148</v>
      </c>
      <c r="AI25" s="15">
        <f ca="1">AG25/AH25</f>
        <v>0.36664604087942299</v>
      </c>
    </row>
    <row r="27" spans="1:35" x14ac:dyDescent="0.25">
      <c r="A27" s="16" t="s">
        <v>233</v>
      </c>
      <c r="B27" s="17" t="s">
        <v>202</v>
      </c>
      <c r="C27" s="17" t="s">
        <v>197</v>
      </c>
      <c r="D27" s="34">
        <v>8.9499999999999993</v>
      </c>
      <c r="E27" s="34">
        <v>1.5</v>
      </c>
      <c r="F27" s="34">
        <v>2.4</v>
      </c>
      <c r="G27" s="34">
        <f>AVERAGE(4.2,3.5)</f>
        <v>3.85</v>
      </c>
      <c r="H27" s="15">
        <f ca="1">X27</f>
        <v>0.72140359731482606</v>
      </c>
      <c r="I27" s="15">
        <f ca="1">AI27</f>
        <v>0.53261535764108869</v>
      </c>
      <c r="J27" s="20">
        <f ca="1">VLOOKUP(C27,INDIRECT(B27),8,FALSE)</f>
        <v>66.3</v>
      </c>
      <c r="K27" s="32">
        <f ca="1">J27*D27</f>
        <v>593.38499999999988</v>
      </c>
      <c r="L27" s="35">
        <f ca="1">K27</f>
        <v>593.38499999999988</v>
      </c>
      <c r="M27" s="16">
        <v>1</v>
      </c>
      <c r="N27" s="16">
        <v>1</v>
      </c>
      <c r="O27" s="20">
        <f>G27*(M27*E27+N27*F27)</f>
        <v>15.015000000000001</v>
      </c>
      <c r="P27" s="16">
        <v>250</v>
      </c>
      <c r="Q27" s="16"/>
      <c r="R27" s="20">
        <f>D27*1000/P27</f>
        <v>35.799999999999997</v>
      </c>
      <c r="S27" s="62">
        <v>5</v>
      </c>
      <c r="T27" s="62">
        <v>384</v>
      </c>
      <c r="U27" s="20">
        <f t="shared" si="4"/>
        <v>166.86065205891927</v>
      </c>
      <c r="V27" s="20">
        <f ca="1">VLOOKUP(C27,INDIRECT(B27),13,FALSE)</f>
        <v>231.3</v>
      </c>
      <c r="W27" s="20">
        <f t="shared" ref="W27:W29" ca="1" si="21">S27*O27*D27^4/(T27*210000*V27)*1000000</f>
        <v>25.826248783870771</v>
      </c>
      <c r="X27" s="15">
        <f t="shared" ref="X27:X29" ca="1" si="22">W27/R27</f>
        <v>0.72140359731482606</v>
      </c>
      <c r="Z27" s="16">
        <v>1.2</v>
      </c>
      <c r="AA27" s="16">
        <v>1.5</v>
      </c>
      <c r="AB27" s="20">
        <f>G27*(Z27*E27+AA27*F27)</f>
        <v>20.79</v>
      </c>
      <c r="AC27" s="20">
        <f>AB27*D27^2/8</f>
        <v>208.16637187499998</v>
      </c>
      <c r="AD27" s="16">
        <v>355</v>
      </c>
      <c r="AE27" s="63">
        <v>1.05</v>
      </c>
      <c r="AF27" s="20">
        <f t="shared" ref="AF27:AF29" si="23">AD27/AE27</f>
        <v>338.09523809523807</v>
      </c>
      <c r="AG27" s="20">
        <f>AC27*10^6/AF27/1000</f>
        <v>615.70335343309853</v>
      </c>
      <c r="AH27" s="20">
        <f ca="1">VLOOKUP(C27,INDIRECT(B27),15,FALSE)</f>
        <v>1156</v>
      </c>
      <c r="AI27" s="15">
        <f ca="1">AG27/AH27</f>
        <v>0.53261535764108869</v>
      </c>
    </row>
    <row r="28" spans="1:35" x14ac:dyDescent="0.25">
      <c r="A28" s="16" t="str">
        <f>A27</f>
        <v>B østligst</v>
      </c>
      <c r="B28" s="17" t="s">
        <v>130</v>
      </c>
      <c r="C28" s="17" t="s">
        <v>94</v>
      </c>
      <c r="D28" s="16">
        <f t="shared" ref="D28:G29" si="24">D27</f>
        <v>8.9499999999999993</v>
      </c>
      <c r="E28" s="16">
        <f t="shared" si="24"/>
        <v>1.5</v>
      </c>
      <c r="F28" s="16">
        <f t="shared" si="24"/>
        <v>2.4</v>
      </c>
      <c r="G28" s="16">
        <f t="shared" si="24"/>
        <v>3.85</v>
      </c>
      <c r="H28" s="15">
        <f ca="1">X28</f>
        <v>0.91380422814304085</v>
      </c>
      <c r="I28" s="15">
        <f ca="1">AI28</f>
        <v>0.48865345510563374</v>
      </c>
      <c r="J28" s="20">
        <f ca="1">VLOOKUP(C28,INDIRECT(B28),8,FALSE)</f>
        <v>88.3</v>
      </c>
      <c r="K28" s="32">
        <f ca="1">J28*D28</f>
        <v>790.28499999999997</v>
      </c>
      <c r="L28" s="35">
        <f ca="1">K28</f>
        <v>790.28499999999997</v>
      </c>
      <c r="M28" s="16">
        <v>1</v>
      </c>
      <c r="N28" s="16">
        <v>1</v>
      </c>
      <c r="O28" s="20">
        <f>G28*(M28*E28+N28*F28)</f>
        <v>15.015000000000001</v>
      </c>
      <c r="P28" s="16">
        <v>250</v>
      </c>
      <c r="Q28" s="16"/>
      <c r="R28" s="20">
        <f>D28*1000/P28</f>
        <v>35.799999999999997</v>
      </c>
      <c r="S28" s="62">
        <v>5</v>
      </c>
      <c r="T28" s="62">
        <v>384</v>
      </c>
      <c r="U28" s="20">
        <f t="shared" si="4"/>
        <v>166.86065205891927</v>
      </c>
      <c r="V28" s="20">
        <f ca="1">VLOOKUP(C28,INDIRECT(B28),13,FALSE)</f>
        <v>182.6</v>
      </c>
      <c r="W28" s="20">
        <f t="shared" ca="1" si="21"/>
        <v>32.714191367520861</v>
      </c>
      <c r="X28" s="15">
        <f t="shared" ca="1" si="22"/>
        <v>0.91380422814304085</v>
      </c>
      <c r="Z28" s="16">
        <v>1.2</v>
      </c>
      <c r="AA28" s="16">
        <v>1.5</v>
      </c>
      <c r="AB28" s="20">
        <f>G28*(Z28*E28+AA28*F28)</f>
        <v>20.79</v>
      </c>
      <c r="AC28" s="20">
        <f>AB28*D28^2/8</f>
        <v>208.16637187499998</v>
      </c>
      <c r="AD28" s="16">
        <v>355</v>
      </c>
      <c r="AE28" s="63">
        <v>1.05</v>
      </c>
      <c r="AF28" s="20">
        <f t="shared" si="23"/>
        <v>338.09523809523807</v>
      </c>
      <c r="AG28" s="20">
        <f>AC28*10^6/AF28/1000</f>
        <v>615.70335343309853</v>
      </c>
      <c r="AH28" s="20">
        <f ca="1">VLOOKUP(C28,INDIRECT(B28),15,FALSE)</f>
        <v>1260</v>
      </c>
      <c r="AI28" s="15">
        <f ca="1">AG28/AH28</f>
        <v>0.48865345510563374</v>
      </c>
    </row>
    <row r="29" spans="1:35" x14ac:dyDescent="0.25">
      <c r="A29" s="16" t="str">
        <f>A28</f>
        <v>B østligst</v>
      </c>
      <c r="B29" s="17" t="s">
        <v>170</v>
      </c>
      <c r="C29" s="17" t="s">
        <v>155</v>
      </c>
      <c r="D29" s="16">
        <f t="shared" si="24"/>
        <v>8.9499999999999993</v>
      </c>
      <c r="E29" s="16">
        <f t="shared" si="24"/>
        <v>1.5</v>
      </c>
      <c r="F29" s="16">
        <f t="shared" si="24"/>
        <v>2.4</v>
      </c>
      <c r="G29" s="16">
        <f t="shared" si="24"/>
        <v>3.85</v>
      </c>
      <c r="H29" s="15">
        <f ca="1">X29</f>
        <v>0.86590893647596923</v>
      </c>
      <c r="I29" s="15">
        <f ca="1">AI29</f>
        <v>0.44745883243684487</v>
      </c>
      <c r="J29" s="20">
        <f ca="1">VLOOKUP(C29,INDIRECT(B29),8,FALSE)</f>
        <v>103.1</v>
      </c>
      <c r="K29" s="32">
        <f ca="1">J29*D29</f>
        <v>922.74499999999989</v>
      </c>
      <c r="L29" s="35">
        <f ca="1">K29</f>
        <v>922.74499999999989</v>
      </c>
      <c r="M29" s="16">
        <v>1</v>
      </c>
      <c r="N29" s="16">
        <v>1</v>
      </c>
      <c r="O29" s="20">
        <f>G29*(M29*E29+N29*F29)</f>
        <v>15.015000000000001</v>
      </c>
      <c r="P29" s="16">
        <v>250</v>
      </c>
      <c r="Q29" s="16"/>
      <c r="R29" s="20">
        <f>D29*1000/P29</f>
        <v>35.799999999999997</v>
      </c>
      <c r="S29" s="62">
        <v>5</v>
      </c>
      <c r="T29" s="62">
        <v>384</v>
      </c>
      <c r="U29" s="20">
        <f t="shared" si="4"/>
        <v>166.86065205891927</v>
      </c>
      <c r="V29" s="20">
        <f ca="1">VLOOKUP(C29,INDIRECT(B29),13,FALSE)</f>
        <v>192.7</v>
      </c>
      <c r="W29" s="20">
        <f t="shared" ca="1" si="21"/>
        <v>30.999539925839695</v>
      </c>
      <c r="X29" s="15">
        <f t="shared" ca="1" si="22"/>
        <v>0.86590893647596923</v>
      </c>
      <c r="Z29" s="16">
        <v>1.2</v>
      </c>
      <c r="AA29" s="16">
        <v>1.5</v>
      </c>
      <c r="AB29" s="20">
        <f>G29*(Z29*E29+AA29*F29)</f>
        <v>20.79</v>
      </c>
      <c r="AC29" s="20">
        <f>AB29*D29^2/8</f>
        <v>208.16637187499998</v>
      </c>
      <c r="AD29" s="16">
        <v>355</v>
      </c>
      <c r="AE29" s="63">
        <v>1.05</v>
      </c>
      <c r="AF29" s="20">
        <f t="shared" si="23"/>
        <v>338.09523809523807</v>
      </c>
      <c r="AG29" s="20">
        <f>AC29*10^6/AF29/1000</f>
        <v>615.70335343309853</v>
      </c>
      <c r="AH29" s="20">
        <f ca="1">VLOOKUP(C29,INDIRECT(B29),15,FALSE)</f>
        <v>1376</v>
      </c>
      <c r="AI29" s="15">
        <f ca="1">AG29/AH29</f>
        <v>0.44745883243684487</v>
      </c>
    </row>
    <row r="31" spans="1:35" x14ac:dyDescent="0.25">
      <c r="A31" s="16" t="s">
        <v>234</v>
      </c>
      <c r="B31" s="17" t="s">
        <v>202</v>
      </c>
      <c r="C31" s="17" t="s">
        <v>193</v>
      </c>
      <c r="D31" s="34">
        <v>6</v>
      </c>
      <c r="E31" s="34">
        <v>1.5</v>
      </c>
      <c r="F31" s="34">
        <v>2.4</v>
      </c>
      <c r="G31" s="34">
        <f>AVERAGE(4.52,3.3)</f>
        <v>3.9099999999999997</v>
      </c>
      <c r="H31" s="15">
        <f ca="1">X31</f>
        <v>0.88181208364174679</v>
      </c>
      <c r="I31" s="15">
        <f ca="1">AI31</f>
        <v>0.65522118488501546</v>
      </c>
      <c r="J31" s="20">
        <f ca="1">VLOOKUP(C31,INDIRECT(B31),8,FALSE)</f>
        <v>36.1</v>
      </c>
      <c r="K31" s="32">
        <f ca="1">J31*D31</f>
        <v>216.60000000000002</v>
      </c>
      <c r="L31" s="35">
        <f ca="1">K31</f>
        <v>216.60000000000002</v>
      </c>
      <c r="M31" s="16">
        <v>1</v>
      </c>
      <c r="N31" s="16">
        <v>1</v>
      </c>
      <c r="O31" s="20">
        <f>G31*(M31*E31+N31*F31)</f>
        <v>15.248999999999999</v>
      </c>
      <c r="P31" s="16">
        <v>250</v>
      </c>
      <c r="Q31" s="16"/>
      <c r="R31" s="20">
        <f>D31*1000/P31</f>
        <v>24</v>
      </c>
      <c r="S31" s="62">
        <v>5</v>
      </c>
      <c r="T31" s="62">
        <v>384</v>
      </c>
      <c r="U31" s="20">
        <f>S31*O31*(D31*1000)^4/(T31*210000*R31)/(10^6)</f>
        <v>51.056919642857132</v>
      </c>
      <c r="V31" s="20">
        <f ca="1">VLOOKUP(C31,INDIRECT(B31),13,FALSE)</f>
        <v>57.9</v>
      </c>
      <c r="W31" s="20">
        <f t="shared" ref="W31:W33" ca="1" si="25">S31*O31*D31^4/(T31*210000*V31)*1000000</f>
        <v>21.163490007401922</v>
      </c>
      <c r="X31" s="15">
        <f t="shared" ref="X31:X33" ca="1" si="26">W31/R31</f>
        <v>0.88181208364174679</v>
      </c>
      <c r="Z31" s="16">
        <v>1.2</v>
      </c>
      <c r="AA31" s="16">
        <v>1.5</v>
      </c>
      <c r="AB31" s="20">
        <f>G31*(Z31*E31+AA31*F31)</f>
        <v>21.113999999999997</v>
      </c>
      <c r="AC31" s="20">
        <f>AB31*D31^2/8</f>
        <v>95.012999999999991</v>
      </c>
      <c r="AD31" s="16">
        <v>355</v>
      </c>
      <c r="AE31" s="63">
        <v>1.05</v>
      </c>
      <c r="AF31" s="20">
        <f t="shared" ref="AF31:AF33" si="27">AD31/AE31</f>
        <v>338.09523809523807</v>
      </c>
      <c r="AG31" s="20">
        <f>AC31*10^6/AF31/1000</f>
        <v>281.0243661971831</v>
      </c>
      <c r="AH31" s="20">
        <f ca="1">VLOOKUP(C31,INDIRECT(B31),15,FALSE)</f>
        <v>428.9</v>
      </c>
      <c r="AI31" s="15">
        <f ca="1">AG31/AH31</f>
        <v>0.65522118488501546</v>
      </c>
    </row>
    <row r="32" spans="1:35" x14ac:dyDescent="0.25">
      <c r="A32" s="16" t="str">
        <f>A31</f>
        <v>C1</v>
      </c>
      <c r="B32" s="17" t="s">
        <v>130</v>
      </c>
      <c r="C32" s="17" t="s">
        <v>90</v>
      </c>
      <c r="D32" s="16">
        <f t="shared" ref="D32:G33" si="28">D31</f>
        <v>6</v>
      </c>
      <c r="E32" s="16">
        <f t="shared" si="28"/>
        <v>1.5</v>
      </c>
      <c r="F32" s="16">
        <f t="shared" si="28"/>
        <v>2.4</v>
      </c>
      <c r="G32" s="16">
        <f t="shared" si="28"/>
        <v>3.9099999999999997</v>
      </c>
      <c r="H32" s="15">
        <f ca="1">X32</f>
        <v>0.94375082519144426</v>
      </c>
      <c r="I32" s="15">
        <f ca="1">AI32</f>
        <v>0.54546654929577465</v>
      </c>
      <c r="J32" s="20">
        <f ca="1">VLOOKUP(C32,INDIRECT(B32),8,FALSE)</f>
        <v>50.5</v>
      </c>
      <c r="K32" s="32">
        <f ca="1">J32*D32</f>
        <v>303</v>
      </c>
      <c r="L32" s="35">
        <f ca="1">K32</f>
        <v>303</v>
      </c>
      <c r="M32" s="16">
        <v>1</v>
      </c>
      <c r="N32" s="16">
        <v>1</v>
      </c>
      <c r="O32" s="20">
        <f>G32*(M32*E32+N32*F32)</f>
        <v>15.248999999999999</v>
      </c>
      <c r="P32" s="16">
        <v>250</v>
      </c>
      <c r="Q32" s="16"/>
      <c r="R32" s="20">
        <f>D32*1000/P32</f>
        <v>24</v>
      </c>
      <c r="S32" s="62">
        <v>5</v>
      </c>
      <c r="T32" s="62">
        <v>384</v>
      </c>
      <c r="U32" s="20">
        <f t="shared" si="4"/>
        <v>51.056919642857132</v>
      </c>
      <c r="V32" s="20">
        <f ca="1">VLOOKUP(C32,INDIRECT(B32),13,FALSE)</f>
        <v>54.1</v>
      </c>
      <c r="W32" s="20">
        <f t="shared" ca="1" si="25"/>
        <v>22.650019804594663</v>
      </c>
      <c r="X32" s="15">
        <f t="shared" ca="1" si="26"/>
        <v>0.94375082519144426</v>
      </c>
      <c r="Z32" s="16">
        <v>1.2</v>
      </c>
      <c r="AA32" s="16">
        <v>1.5</v>
      </c>
      <c r="AB32" s="20">
        <f>G32*(Z32*E32+AA32*F32)</f>
        <v>21.113999999999997</v>
      </c>
      <c r="AC32" s="20">
        <f>AB32*D32^2/8</f>
        <v>95.012999999999991</v>
      </c>
      <c r="AD32" s="16">
        <v>355</v>
      </c>
      <c r="AE32" s="63">
        <v>1.05</v>
      </c>
      <c r="AF32" s="20">
        <f t="shared" si="27"/>
        <v>338.09523809523807</v>
      </c>
      <c r="AG32" s="20">
        <f>AC32*10^6/AF32/1000</f>
        <v>281.0243661971831</v>
      </c>
      <c r="AH32" s="20">
        <f ca="1">VLOOKUP(C32,INDIRECT(B32),15,FALSE)</f>
        <v>515.20000000000005</v>
      </c>
      <c r="AI32" s="15">
        <f ca="1">AG32/AH32</f>
        <v>0.54546654929577465</v>
      </c>
    </row>
    <row r="33" spans="1:35" x14ac:dyDescent="0.25">
      <c r="A33" s="16" t="str">
        <f>A32</f>
        <v>C1</v>
      </c>
      <c r="B33" s="17" t="s">
        <v>170</v>
      </c>
      <c r="C33" s="17" t="s">
        <v>151</v>
      </c>
      <c r="D33" s="16">
        <f t="shared" si="28"/>
        <v>6</v>
      </c>
      <c r="E33" s="16">
        <f t="shared" si="28"/>
        <v>1.5</v>
      </c>
      <c r="F33" s="16">
        <f t="shared" si="28"/>
        <v>2.4</v>
      </c>
      <c r="G33" s="16">
        <f t="shared" si="28"/>
        <v>3.9099999999999997</v>
      </c>
      <c r="H33" s="15">
        <f ca="1">X33</f>
        <v>0.89636446002207049</v>
      </c>
      <c r="I33" s="15">
        <f ca="1">AI33</f>
        <v>0.49337142941921186</v>
      </c>
      <c r="J33" s="20">
        <f ca="1">VLOOKUP(C33,INDIRECT(B33),8,FALSE)</f>
        <v>61.3</v>
      </c>
      <c r="K33" s="32">
        <f ca="1">J33*D33</f>
        <v>367.79999999999995</v>
      </c>
      <c r="L33" s="35">
        <f ca="1">K33</f>
        <v>367.79999999999995</v>
      </c>
      <c r="M33" s="16">
        <v>1</v>
      </c>
      <c r="N33" s="16">
        <v>1</v>
      </c>
      <c r="O33" s="20">
        <f>G33*(M33*E33+N33*F33)</f>
        <v>15.248999999999999</v>
      </c>
      <c r="P33" s="16">
        <v>250</v>
      </c>
      <c r="Q33" s="16"/>
      <c r="R33" s="20">
        <f>D33*1000/P33</f>
        <v>24</v>
      </c>
      <c r="S33" s="62">
        <v>5</v>
      </c>
      <c r="T33" s="62">
        <v>384</v>
      </c>
      <c r="U33" s="20">
        <f t="shared" si="4"/>
        <v>51.056919642857132</v>
      </c>
      <c r="V33" s="20">
        <f ca="1">VLOOKUP(C33,INDIRECT(B33),13,FALSE)</f>
        <v>56.96</v>
      </c>
      <c r="W33" s="20">
        <f t="shared" ca="1" si="25"/>
        <v>21.512747040529693</v>
      </c>
      <c r="X33" s="15">
        <f t="shared" ca="1" si="26"/>
        <v>0.89636446002207049</v>
      </c>
      <c r="Z33" s="16">
        <v>1.2</v>
      </c>
      <c r="AA33" s="16">
        <v>1.5</v>
      </c>
      <c r="AB33" s="20">
        <f>G33*(Z33*E33+AA33*F33)</f>
        <v>21.113999999999997</v>
      </c>
      <c r="AC33" s="20">
        <f>AB33*D33^2/8</f>
        <v>95.012999999999991</v>
      </c>
      <c r="AD33" s="16">
        <v>355</v>
      </c>
      <c r="AE33" s="63">
        <v>1.05</v>
      </c>
      <c r="AF33" s="20">
        <f t="shared" si="27"/>
        <v>338.09523809523807</v>
      </c>
      <c r="AG33" s="20">
        <f>AC33*10^6/AF33/1000</f>
        <v>281.0243661971831</v>
      </c>
      <c r="AH33" s="20">
        <f ca="1">VLOOKUP(C33,INDIRECT(B33),15,FALSE)</f>
        <v>569.6</v>
      </c>
      <c r="AI33" s="15">
        <f ca="1">AG33/AH33</f>
        <v>0.49337142941921186</v>
      </c>
    </row>
    <row r="36" spans="1:35" x14ac:dyDescent="0.25">
      <c r="A36" s="16" t="s">
        <v>235</v>
      </c>
      <c r="B36" s="17" t="s">
        <v>202</v>
      </c>
      <c r="C36" s="17" t="s">
        <v>193</v>
      </c>
      <c r="D36" s="34">
        <v>5.5</v>
      </c>
      <c r="E36" s="34">
        <v>12.1</v>
      </c>
      <c r="F36" s="34">
        <v>7.6</v>
      </c>
      <c r="G36" s="34">
        <v>1</v>
      </c>
      <c r="H36" s="15">
        <f ca="1">X36</f>
        <v>0.87747595552505686</v>
      </c>
      <c r="I36" s="15">
        <f ca="1">AI36</f>
        <v>0.67588886079357935</v>
      </c>
      <c r="J36" s="20">
        <f ca="1">VLOOKUP(C36,INDIRECT(B36),8,FALSE)</f>
        <v>36.1</v>
      </c>
      <c r="K36" s="32">
        <f ca="1">J36*D36</f>
        <v>198.55</v>
      </c>
      <c r="L36" s="35">
        <f ca="1">K36</f>
        <v>198.55</v>
      </c>
      <c r="M36" s="16">
        <v>1</v>
      </c>
      <c r="N36" s="16">
        <v>1</v>
      </c>
      <c r="O36" s="20">
        <f>G36*(M36*E36+N36*F36)</f>
        <v>19.7</v>
      </c>
      <c r="P36" s="16">
        <v>250</v>
      </c>
      <c r="Q36" s="16"/>
      <c r="R36" s="20">
        <f>D36*1000/P36</f>
        <v>22</v>
      </c>
      <c r="S36" s="62">
        <v>5</v>
      </c>
      <c r="T36" s="62">
        <v>384</v>
      </c>
      <c r="U36" s="20">
        <f t="shared" ref="U36:U38" si="29">S36*O36*(D36*1000)^4/(T36*210000*R36)/(10^6)</f>
        <v>50.805857824900791</v>
      </c>
      <c r="V36" s="20">
        <f ca="1">VLOOKUP(C36,INDIRECT(B36),13,FALSE)</f>
        <v>57.9</v>
      </c>
      <c r="W36" s="20">
        <f t="shared" ref="W36:W38" ca="1" si="30">S36*O36*D36^4/(T36*210000*V36)*1000000</f>
        <v>19.304471021551251</v>
      </c>
      <c r="X36" s="15">
        <f t="shared" ref="X36:X38" ca="1" si="31">W36/R36</f>
        <v>0.87747595552505686</v>
      </c>
      <c r="Z36" s="16">
        <v>1.2</v>
      </c>
      <c r="AA36" s="16">
        <v>1.5</v>
      </c>
      <c r="AB36" s="20">
        <f>G36*(Z36*E36+AA36*F36)</f>
        <v>25.919999999999998</v>
      </c>
      <c r="AC36" s="20">
        <f>AB36*D36^2/8</f>
        <v>98.009999999999991</v>
      </c>
      <c r="AD36" s="16">
        <v>355</v>
      </c>
      <c r="AE36" s="63">
        <v>1.05</v>
      </c>
      <c r="AF36" s="20">
        <f t="shared" ref="AF36:AF38" si="32">AD36/AE36</f>
        <v>338.09523809523807</v>
      </c>
      <c r="AG36" s="20">
        <f>AC36*10^6/AF36/1000</f>
        <v>289.88873239436617</v>
      </c>
      <c r="AH36" s="20">
        <f ca="1">VLOOKUP(C36,INDIRECT(B36),15,FALSE)</f>
        <v>428.9</v>
      </c>
      <c r="AI36" s="15">
        <f ca="1">AG36/AH36</f>
        <v>0.67588886079357935</v>
      </c>
    </row>
    <row r="37" spans="1:35" x14ac:dyDescent="0.25">
      <c r="A37" s="16" t="str">
        <f>A36</f>
        <v>A- (V1)</v>
      </c>
      <c r="B37" s="17" t="s">
        <v>130</v>
      </c>
      <c r="C37" s="17" t="s">
        <v>90</v>
      </c>
      <c r="D37" s="16">
        <f>D36</f>
        <v>5.5</v>
      </c>
      <c r="E37" s="16">
        <f t="shared" ref="E37:G38" si="33">E36</f>
        <v>12.1</v>
      </c>
      <c r="F37" s="16">
        <f t="shared" si="33"/>
        <v>7.6</v>
      </c>
      <c r="G37" s="16">
        <f t="shared" si="33"/>
        <v>1</v>
      </c>
      <c r="H37" s="15">
        <f ca="1">X37</f>
        <v>0.93911012615343414</v>
      </c>
      <c r="I37" s="15">
        <f ca="1">AI37</f>
        <v>0.56267222902633185</v>
      </c>
      <c r="J37" s="20">
        <f ca="1">VLOOKUP(C37,INDIRECT(B37),8,FALSE)</f>
        <v>50.5</v>
      </c>
      <c r="K37" s="32">
        <f ca="1">J37*D37</f>
        <v>277.75</v>
      </c>
      <c r="L37" s="35">
        <f ca="1">K37</f>
        <v>277.75</v>
      </c>
      <c r="M37" s="16">
        <v>1</v>
      </c>
      <c r="N37" s="16">
        <v>1</v>
      </c>
      <c r="O37" s="20">
        <f>G37*(M37*E37+N37*F37)</f>
        <v>19.7</v>
      </c>
      <c r="P37" s="16">
        <v>250</v>
      </c>
      <c r="Q37" s="16"/>
      <c r="R37" s="20">
        <f>D37*1000/P37</f>
        <v>22</v>
      </c>
      <c r="S37" s="62">
        <v>5</v>
      </c>
      <c r="T37" s="62">
        <v>384</v>
      </c>
      <c r="U37" s="20">
        <f t="shared" si="29"/>
        <v>50.805857824900791</v>
      </c>
      <c r="V37" s="20">
        <f ca="1">VLOOKUP(C37,INDIRECT(B37),13,FALSE)</f>
        <v>54.1</v>
      </c>
      <c r="W37" s="20">
        <f t="shared" ca="1" si="30"/>
        <v>20.660422775375551</v>
      </c>
      <c r="X37" s="15">
        <f t="shared" ca="1" si="31"/>
        <v>0.93911012615343414</v>
      </c>
      <c r="Z37" s="16">
        <v>1.2</v>
      </c>
      <c r="AA37" s="16">
        <v>1.5</v>
      </c>
      <c r="AB37" s="20">
        <f>G37*(Z37*E37+AA37*F37)</f>
        <v>25.919999999999998</v>
      </c>
      <c r="AC37" s="20">
        <f>AB37*D37^2/8</f>
        <v>98.009999999999991</v>
      </c>
      <c r="AD37" s="16">
        <v>355</v>
      </c>
      <c r="AE37" s="63">
        <v>1.05</v>
      </c>
      <c r="AF37" s="20">
        <f t="shared" si="32"/>
        <v>338.09523809523807</v>
      </c>
      <c r="AG37" s="20">
        <f>AC37*10^6/AF37/1000</f>
        <v>289.88873239436617</v>
      </c>
      <c r="AH37" s="20">
        <f ca="1">VLOOKUP(C37,INDIRECT(B37),15,FALSE)</f>
        <v>515.20000000000005</v>
      </c>
      <c r="AI37" s="15">
        <f ca="1">AG37/AH37</f>
        <v>0.56267222902633185</v>
      </c>
    </row>
    <row r="38" spans="1:35" x14ac:dyDescent="0.25">
      <c r="A38" s="16" t="str">
        <f>A37</f>
        <v>A- (V1)</v>
      </c>
      <c r="B38" s="17" t="s">
        <v>170</v>
      </c>
      <c r="C38" s="17" t="s">
        <v>151</v>
      </c>
      <c r="D38" s="16">
        <f>D37</f>
        <v>5.5</v>
      </c>
      <c r="E38" s="16">
        <f t="shared" si="33"/>
        <v>12.1</v>
      </c>
      <c r="F38" s="16">
        <f t="shared" si="33"/>
        <v>7.6</v>
      </c>
      <c r="G38" s="16">
        <f t="shared" si="33"/>
        <v>1</v>
      </c>
      <c r="H38" s="15">
        <f ca="1">X38</f>
        <v>0.89195677361132009</v>
      </c>
      <c r="I38" s="15">
        <f ca="1">AI38</f>
        <v>0.50893387007437885</v>
      </c>
      <c r="J38" s="20">
        <f ca="1">VLOOKUP(C38,INDIRECT(B38),8,FALSE)</f>
        <v>61.3</v>
      </c>
      <c r="K38" s="32">
        <f ca="1">J38*D38</f>
        <v>337.15</v>
      </c>
      <c r="L38" s="35">
        <f ca="1">K38</f>
        <v>337.15</v>
      </c>
      <c r="M38" s="16">
        <v>1</v>
      </c>
      <c r="N38" s="16">
        <v>1</v>
      </c>
      <c r="O38" s="20">
        <f>G38*(M38*E38+N38*F38)</f>
        <v>19.7</v>
      </c>
      <c r="P38" s="16">
        <v>250</v>
      </c>
      <c r="Q38" s="16"/>
      <c r="R38" s="20">
        <f>D38*1000/P38</f>
        <v>22</v>
      </c>
      <c r="S38" s="62">
        <v>5</v>
      </c>
      <c r="T38" s="62">
        <v>384</v>
      </c>
      <c r="U38" s="20">
        <f t="shared" si="29"/>
        <v>50.805857824900791</v>
      </c>
      <c r="V38" s="20">
        <f ca="1">VLOOKUP(C38,INDIRECT(B38),13,FALSE)</f>
        <v>56.96</v>
      </c>
      <c r="W38" s="20">
        <f t="shared" ca="1" si="30"/>
        <v>19.623049019449041</v>
      </c>
      <c r="X38" s="15">
        <f t="shared" ca="1" si="31"/>
        <v>0.89195677361132009</v>
      </c>
      <c r="Z38" s="16">
        <v>1.2</v>
      </c>
      <c r="AA38" s="16">
        <v>1.5</v>
      </c>
      <c r="AB38" s="20">
        <f>G38*(Z38*E38+AA38*F38)</f>
        <v>25.919999999999998</v>
      </c>
      <c r="AC38" s="20">
        <f>AB38*D38^2/8</f>
        <v>98.009999999999991</v>
      </c>
      <c r="AD38" s="16">
        <v>355</v>
      </c>
      <c r="AE38" s="63">
        <v>1.05</v>
      </c>
      <c r="AF38" s="20">
        <f t="shared" si="32"/>
        <v>338.09523809523807</v>
      </c>
      <c r="AG38" s="20">
        <f>AC38*10^6/AF38/1000</f>
        <v>289.88873239436617</v>
      </c>
      <c r="AH38" s="20">
        <f ca="1">VLOOKUP(C38,INDIRECT(B38),15,FALSE)</f>
        <v>569.6</v>
      </c>
      <c r="AI38" s="15">
        <f ca="1">AG38/AH38</f>
        <v>0.50893387007437885</v>
      </c>
    </row>
    <row r="41" spans="1:35" x14ac:dyDescent="0.25">
      <c r="A41" s="16" t="s">
        <v>236</v>
      </c>
      <c r="B41" s="17" t="s">
        <v>202</v>
      </c>
      <c r="C41" s="17" t="s">
        <v>194</v>
      </c>
      <c r="D41" s="34">
        <v>5.35</v>
      </c>
      <c r="E41" s="34">
        <v>2.5</v>
      </c>
      <c r="F41" s="34">
        <v>2</v>
      </c>
      <c r="G41" s="34">
        <v>5.5</v>
      </c>
      <c r="H41" s="15">
        <f ca="1">X41</f>
        <v>0.70306845388912675</v>
      </c>
      <c r="I41" s="15">
        <f ca="1">AI41</f>
        <v>0.62684375639946288</v>
      </c>
      <c r="J41" s="20">
        <f ca="1">VLOOKUP(C41,INDIRECT(B41),8,FALSE)</f>
        <v>42.2</v>
      </c>
      <c r="K41" s="32">
        <f ca="1">J41*D41</f>
        <v>225.77</v>
      </c>
      <c r="L41" s="35">
        <f ca="1">K41</f>
        <v>225.77</v>
      </c>
      <c r="M41" s="16">
        <v>1</v>
      </c>
      <c r="N41" s="16">
        <v>1</v>
      </c>
      <c r="O41" s="20">
        <f>G41*(M41*E41+N41*F41)</f>
        <v>24.75</v>
      </c>
      <c r="P41" s="16">
        <v>250</v>
      </c>
      <c r="Q41" s="16"/>
      <c r="R41" s="20">
        <f>D41*1000/P41</f>
        <v>21.4</v>
      </c>
      <c r="S41" s="62">
        <v>5</v>
      </c>
      <c r="T41" s="62">
        <v>384</v>
      </c>
      <c r="U41" s="20">
        <f t="shared" ref="U41:U43" si="34">S41*O41*(D41*1000)^4/(T41*210000*R41)/(10^6)</f>
        <v>58.748400006975452</v>
      </c>
      <c r="V41" s="20">
        <f ca="1">VLOOKUP(C41,INDIRECT(B41),13,FALSE)</f>
        <v>83.56</v>
      </c>
      <c r="W41" s="20">
        <f t="shared" ref="W41:W43" ca="1" si="35">S41*O41*D41^4/(T41*210000*V41)*1000000</f>
        <v>15.045664913227311</v>
      </c>
      <c r="X41" s="15">
        <f t="shared" ref="X41:X43" ca="1" si="36">W41/R41</f>
        <v>0.70306845388912675</v>
      </c>
      <c r="Z41" s="16">
        <v>1.2</v>
      </c>
      <c r="AA41" s="16">
        <v>1.5</v>
      </c>
      <c r="AB41" s="20">
        <f>G41*(Z41*E41+AA41*F41)</f>
        <v>33</v>
      </c>
      <c r="AC41" s="20">
        <f>AB41*D41^2/8</f>
        <v>118.06781249999997</v>
      </c>
      <c r="AD41" s="16">
        <v>355</v>
      </c>
      <c r="AE41" s="63">
        <v>1.05</v>
      </c>
      <c r="AF41" s="20">
        <f t="shared" ref="AF41:AF43" si="37">AD41/AE41</f>
        <v>338.09523809523807</v>
      </c>
      <c r="AG41" s="20">
        <f>AC41*10^6/AF41/1000</f>
        <v>349.21465669014077</v>
      </c>
      <c r="AH41" s="20">
        <f ca="1">VLOOKUP(C41,INDIRECT(B41),15,FALSE)</f>
        <v>557.1</v>
      </c>
      <c r="AI41" s="15">
        <f ca="1">AG41/AH41</f>
        <v>0.62684375639946288</v>
      </c>
    </row>
    <row r="42" spans="1:35" x14ac:dyDescent="0.25">
      <c r="A42" s="16" t="str">
        <f>A41</f>
        <v>Akse C - over kjøkken</v>
      </c>
      <c r="B42" s="17" t="s">
        <v>130</v>
      </c>
      <c r="C42" s="17" t="s">
        <v>91</v>
      </c>
      <c r="D42" s="16">
        <f t="shared" ref="D42:G43" si="38">D41</f>
        <v>5.35</v>
      </c>
      <c r="E42" s="16">
        <f t="shared" si="38"/>
        <v>2.5</v>
      </c>
      <c r="F42" s="16">
        <f t="shared" si="38"/>
        <v>2</v>
      </c>
      <c r="G42" s="16">
        <f t="shared" si="38"/>
        <v>5.5</v>
      </c>
      <c r="H42" s="15">
        <f ca="1">X42</f>
        <v>0.75677444295987917</v>
      </c>
      <c r="I42" s="15">
        <f ca="1">AI42</f>
        <v>0.5172784131093775</v>
      </c>
      <c r="J42" s="20">
        <f ca="1">VLOOKUP(C42,INDIRECT(B42),8,FALSE)</f>
        <v>60.3</v>
      </c>
      <c r="K42" s="32">
        <f ca="1">J42*D42</f>
        <v>322.60499999999996</v>
      </c>
      <c r="L42" s="35">
        <f ca="1">K42</f>
        <v>322.60499999999996</v>
      </c>
      <c r="M42" s="16">
        <v>1</v>
      </c>
      <c r="N42" s="16">
        <v>1</v>
      </c>
      <c r="O42" s="20">
        <f>G42*(M42*E42+N42*F42)</f>
        <v>24.75</v>
      </c>
      <c r="P42" s="16">
        <v>250</v>
      </c>
      <c r="Q42" s="16"/>
      <c r="R42" s="20">
        <f>D42*1000/P42</f>
        <v>21.4</v>
      </c>
      <c r="S42" s="62">
        <v>5</v>
      </c>
      <c r="T42" s="62">
        <v>384</v>
      </c>
      <c r="U42" s="20">
        <f t="shared" si="34"/>
        <v>58.748400006975452</v>
      </c>
      <c r="V42" s="20">
        <f ca="1">VLOOKUP(C42,INDIRECT(B42),13,FALSE)</f>
        <v>77.63</v>
      </c>
      <c r="W42" s="20">
        <f t="shared" ca="1" si="35"/>
        <v>16.194973079341413</v>
      </c>
      <c r="X42" s="15">
        <f t="shared" ca="1" si="36"/>
        <v>0.75677444295987917</v>
      </c>
      <c r="Z42" s="16">
        <v>1.2</v>
      </c>
      <c r="AA42" s="16">
        <v>1.5</v>
      </c>
      <c r="AB42" s="20">
        <f>G42*(Z42*E42+AA42*F42)</f>
        <v>33</v>
      </c>
      <c r="AC42" s="20">
        <f>AB42*D42^2/8</f>
        <v>118.06781249999997</v>
      </c>
      <c r="AD42" s="16">
        <v>355</v>
      </c>
      <c r="AE42" s="63">
        <v>1.05</v>
      </c>
      <c r="AF42" s="20">
        <f t="shared" si="37"/>
        <v>338.09523809523807</v>
      </c>
      <c r="AG42" s="20">
        <f>AC42*10^6/AF42/1000</f>
        <v>349.21465669014077</v>
      </c>
      <c r="AH42" s="20">
        <f ca="1">VLOOKUP(C42,INDIRECT(B42),15,FALSE)</f>
        <v>675.1</v>
      </c>
      <c r="AI42" s="15">
        <f ca="1">AG42/AH42</f>
        <v>0.5172784131093775</v>
      </c>
    </row>
    <row r="43" spans="1:35" x14ac:dyDescent="0.25">
      <c r="A43" s="16" t="str">
        <f>A42</f>
        <v>Akse C - over kjøkken</v>
      </c>
      <c r="B43" s="17" t="s">
        <v>170</v>
      </c>
      <c r="C43" s="17" t="s">
        <v>152</v>
      </c>
      <c r="D43" s="16">
        <f t="shared" si="38"/>
        <v>5.35</v>
      </c>
      <c r="E43" s="16">
        <f t="shared" si="38"/>
        <v>2.5</v>
      </c>
      <c r="F43" s="16">
        <f t="shared" si="38"/>
        <v>2</v>
      </c>
      <c r="G43" s="16">
        <f t="shared" si="38"/>
        <v>5.5</v>
      </c>
      <c r="H43" s="15">
        <f ca="1">X43</f>
        <v>0.72609566193270825</v>
      </c>
      <c r="I43" s="15">
        <f ca="1">AI43</f>
        <v>0.47479898938156462</v>
      </c>
      <c r="J43" s="20">
        <f ca="1">VLOOKUP(C43,INDIRECT(B43),8,FALSE)</f>
        <v>71.5</v>
      </c>
      <c r="K43" s="32">
        <f ca="1">J43*D43</f>
        <v>382.52499999999998</v>
      </c>
      <c r="L43" s="35">
        <f ca="1">K43</f>
        <v>382.52499999999998</v>
      </c>
      <c r="M43" s="16">
        <v>1</v>
      </c>
      <c r="N43" s="16">
        <v>1</v>
      </c>
      <c r="O43" s="20">
        <f>G43*(M43*E43+N43*F43)</f>
        <v>24.75</v>
      </c>
      <c r="P43" s="16">
        <v>250</v>
      </c>
      <c r="Q43" s="16"/>
      <c r="R43" s="20">
        <f>D43*1000/P43</f>
        <v>21.4</v>
      </c>
      <c r="S43" s="62">
        <v>5</v>
      </c>
      <c r="T43" s="62">
        <v>384</v>
      </c>
      <c r="U43" s="20">
        <f t="shared" si="34"/>
        <v>58.748400006975452</v>
      </c>
      <c r="V43" s="20">
        <f ca="1">VLOOKUP(C43,INDIRECT(B43),13,FALSE)</f>
        <v>80.91</v>
      </c>
      <c r="W43" s="20">
        <f t="shared" ca="1" si="35"/>
        <v>15.538447165359957</v>
      </c>
      <c r="X43" s="15">
        <f t="shared" ca="1" si="36"/>
        <v>0.72609566193270825</v>
      </c>
      <c r="Z43" s="16">
        <v>1.2</v>
      </c>
      <c r="AA43" s="16">
        <v>1.5</v>
      </c>
      <c r="AB43" s="20">
        <f>G43*(Z43*E43+AA43*F43)</f>
        <v>33</v>
      </c>
      <c r="AC43" s="20">
        <f>AB43*D43^2/8</f>
        <v>118.06781249999997</v>
      </c>
      <c r="AD43" s="16">
        <v>355</v>
      </c>
      <c r="AE43" s="63">
        <v>1.05</v>
      </c>
      <c r="AF43" s="20">
        <f t="shared" si="37"/>
        <v>338.09523809523807</v>
      </c>
      <c r="AG43" s="20">
        <f>AC43*10^6/AF43/1000</f>
        <v>349.21465669014077</v>
      </c>
      <c r="AH43" s="20">
        <f ca="1">VLOOKUP(C43,INDIRECT(B43),15,FALSE)</f>
        <v>735.5</v>
      </c>
      <c r="AI43" s="15">
        <f ca="1">AG43/AH43</f>
        <v>0.47479898938156462</v>
      </c>
    </row>
    <row r="45" spans="1:35" x14ac:dyDescent="0.25">
      <c r="A45" s="16" t="s">
        <v>238</v>
      </c>
      <c r="B45" s="17" t="s">
        <v>202</v>
      </c>
      <c r="C45" s="17" t="s">
        <v>194</v>
      </c>
      <c r="D45" s="34">
        <v>7.2</v>
      </c>
      <c r="E45" s="34">
        <v>1.5</v>
      </c>
      <c r="F45" s="34">
        <v>3.6</v>
      </c>
      <c r="G45" s="34">
        <v>2</v>
      </c>
      <c r="H45" s="15">
        <f ca="1">X45</f>
        <v>0.70625042740887667</v>
      </c>
      <c r="I45" s="15">
        <f ca="1">AI45</f>
        <v>0.49541058954697498</v>
      </c>
      <c r="J45" s="20">
        <f ca="1">VLOOKUP(C45,INDIRECT(B45),8,FALSE)</f>
        <v>42.2</v>
      </c>
      <c r="K45" s="32">
        <f ca="1">J45*D45</f>
        <v>303.84000000000003</v>
      </c>
      <c r="L45" s="35">
        <f ca="1">K45</f>
        <v>303.84000000000003</v>
      </c>
      <c r="M45" s="16">
        <v>1</v>
      </c>
      <c r="N45" s="16">
        <v>1</v>
      </c>
      <c r="O45" s="20">
        <f>G45*(M45*E45+N45*F45)</f>
        <v>10.199999999999999</v>
      </c>
      <c r="P45" s="16">
        <v>250</v>
      </c>
      <c r="Q45" s="16"/>
      <c r="R45" s="20">
        <f>D45*1000/P45</f>
        <v>28.8</v>
      </c>
      <c r="S45" s="62">
        <v>5</v>
      </c>
      <c r="T45" s="62">
        <v>384</v>
      </c>
      <c r="U45" s="20">
        <f t="shared" ref="U45:U47" si="39">S45*O45*(D45*1000)^4/(T45*210000*R45)/(10^6)</f>
        <v>59.01428571428572</v>
      </c>
      <c r="V45" s="20">
        <f ca="1">VLOOKUP(C45,INDIRECT(B45),13,FALSE)</f>
        <v>83.56</v>
      </c>
      <c r="W45" s="20">
        <f t="shared" ref="W45:W47" ca="1" si="40">S45*O45*D45^4/(T45*210000*V45)*1000000</f>
        <v>20.340012309375648</v>
      </c>
      <c r="X45" s="15">
        <f t="shared" ref="X45:X47" ca="1" si="41">W45/R45</f>
        <v>0.70625042740887667</v>
      </c>
      <c r="Z45" s="16">
        <v>1.2</v>
      </c>
      <c r="AA45" s="16">
        <v>1.5</v>
      </c>
      <c r="AB45" s="20">
        <f>G45*(Z45*E45+AA45*F45)</f>
        <v>14.4</v>
      </c>
      <c r="AC45" s="20">
        <f>AB45*D45^2/8</f>
        <v>93.312000000000012</v>
      </c>
      <c r="AD45" s="16">
        <v>355</v>
      </c>
      <c r="AE45" s="63">
        <v>1.05</v>
      </c>
      <c r="AF45" s="20">
        <f t="shared" ref="AF45:AF47" si="42">AD45/AE45</f>
        <v>338.09523809523807</v>
      </c>
      <c r="AG45" s="20">
        <f>AC45*10^6/AF45/1000</f>
        <v>275.99323943661977</v>
      </c>
      <c r="AH45" s="20">
        <f ca="1">VLOOKUP(C45,INDIRECT(B45),15,FALSE)</f>
        <v>557.1</v>
      </c>
      <c r="AI45" s="15">
        <f ca="1">AG45/AH45</f>
        <v>0.49541058954697498</v>
      </c>
    </row>
    <row r="46" spans="1:35" x14ac:dyDescent="0.25">
      <c r="A46" s="16" t="str">
        <f>A45</f>
        <v>Vollan 2 - møteromsbjelke</v>
      </c>
      <c r="B46" s="17" t="s">
        <v>130</v>
      </c>
      <c r="C46" s="17" t="s">
        <v>91</v>
      </c>
      <c r="D46" s="16">
        <f t="shared" ref="D46:G47" si="43">D45</f>
        <v>7.2</v>
      </c>
      <c r="E46" s="16">
        <f t="shared" si="43"/>
        <v>1.5</v>
      </c>
      <c r="F46" s="16">
        <f t="shared" si="43"/>
        <v>3.6</v>
      </c>
      <c r="G46" s="16">
        <f t="shared" si="43"/>
        <v>2</v>
      </c>
      <c r="H46" s="15">
        <f ca="1">X46</f>
        <v>0.76019948105482071</v>
      </c>
      <c r="I46" s="15">
        <f ca="1">AI46</f>
        <v>0.40881830756424198</v>
      </c>
      <c r="J46" s="20">
        <f ca="1">VLOOKUP(C46,INDIRECT(B46),8,FALSE)</f>
        <v>60.3</v>
      </c>
      <c r="K46" s="32">
        <f ca="1">J46*D46</f>
        <v>434.15999999999997</v>
      </c>
      <c r="L46" s="35">
        <f ca="1">K46</f>
        <v>434.15999999999997</v>
      </c>
      <c r="M46" s="16">
        <v>1</v>
      </c>
      <c r="N46" s="16">
        <v>1</v>
      </c>
      <c r="O46" s="20">
        <f>G46*(M46*E46+N46*F46)</f>
        <v>10.199999999999999</v>
      </c>
      <c r="P46" s="16">
        <v>250</v>
      </c>
      <c r="Q46" s="16"/>
      <c r="R46" s="20">
        <f>D46*1000/P46</f>
        <v>28.8</v>
      </c>
      <c r="S46" s="62">
        <v>5</v>
      </c>
      <c r="T46" s="62">
        <v>384</v>
      </c>
      <c r="U46" s="20">
        <f t="shared" si="39"/>
        <v>59.01428571428572</v>
      </c>
      <c r="V46" s="20">
        <f ca="1">VLOOKUP(C46,INDIRECT(B46),13,FALSE)</f>
        <v>77.63</v>
      </c>
      <c r="W46" s="20">
        <f t="shared" ca="1" si="40"/>
        <v>21.893745054378837</v>
      </c>
      <c r="X46" s="15">
        <f t="shared" ca="1" si="41"/>
        <v>0.76019948105482071</v>
      </c>
      <c r="Z46" s="16">
        <v>1.2</v>
      </c>
      <c r="AA46" s="16">
        <v>1.5</v>
      </c>
      <c r="AB46" s="20">
        <f>G46*(Z46*E46+AA46*F46)</f>
        <v>14.4</v>
      </c>
      <c r="AC46" s="20">
        <f>AB46*D46^2/8</f>
        <v>93.312000000000012</v>
      </c>
      <c r="AD46" s="16">
        <v>355</v>
      </c>
      <c r="AE46" s="63">
        <v>1.05</v>
      </c>
      <c r="AF46" s="20">
        <f t="shared" si="42"/>
        <v>338.09523809523807</v>
      </c>
      <c r="AG46" s="20">
        <f>AC46*10^6/AF46/1000</f>
        <v>275.99323943661977</v>
      </c>
      <c r="AH46" s="20">
        <f ca="1">VLOOKUP(C46,INDIRECT(B46),15,FALSE)</f>
        <v>675.1</v>
      </c>
      <c r="AI46" s="15">
        <f ca="1">AG46/AH46</f>
        <v>0.40881830756424198</v>
      </c>
    </row>
    <row r="47" spans="1:35" x14ac:dyDescent="0.25">
      <c r="A47" s="16" t="str">
        <f>A46</f>
        <v>Vollan 2 - møteromsbjelke</v>
      </c>
      <c r="B47" s="17" t="s">
        <v>170</v>
      </c>
      <c r="C47" s="17" t="s">
        <v>152</v>
      </c>
      <c r="D47" s="16">
        <f t="shared" si="43"/>
        <v>7.2</v>
      </c>
      <c r="E47" s="16">
        <f t="shared" si="43"/>
        <v>1.5</v>
      </c>
      <c r="F47" s="16">
        <f t="shared" si="43"/>
        <v>3.6</v>
      </c>
      <c r="G47" s="16">
        <f t="shared" si="43"/>
        <v>2</v>
      </c>
      <c r="H47" s="15">
        <f ca="1">X47</f>
        <v>0.72938185285237589</v>
      </c>
      <c r="I47" s="15">
        <f ca="1">AI47</f>
        <v>0.37524573682749118</v>
      </c>
      <c r="J47" s="20">
        <f ca="1">VLOOKUP(C47,INDIRECT(B47),8,FALSE)</f>
        <v>71.5</v>
      </c>
      <c r="K47" s="32">
        <f ca="1">J47*D47</f>
        <v>514.80000000000007</v>
      </c>
      <c r="L47" s="35">
        <f ca="1">K47</f>
        <v>514.80000000000007</v>
      </c>
      <c r="M47" s="16">
        <v>1</v>
      </c>
      <c r="N47" s="16">
        <v>1</v>
      </c>
      <c r="O47" s="20">
        <f>G47*(M47*E47+N47*F47)</f>
        <v>10.199999999999999</v>
      </c>
      <c r="P47" s="16">
        <v>250</v>
      </c>
      <c r="Q47" s="16"/>
      <c r="R47" s="20">
        <f>D47*1000/P47</f>
        <v>28.8</v>
      </c>
      <c r="S47" s="62">
        <v>5</v>
      </c>
      <c r="T47" s="62">
        <v>384</v>
      </c>
      <c r="U47" s="20">
        <f t="shared" si="39"/>
        <v>59.01428571428572</v>
      </c>
      <c r="V47" s="20">
        <f ca="1">VLOOKUP(C47,INDIRECT(B47),13,FALSE)</f>
        <v>80.91</v>
      </c>
      <c r="W47" s="20">
        <f t="shared" ca="1" si="40"/>
        <v>21.006197362148427</v>
      </c>
      <c r="X47" s="15">
        <f t="shared" ca="1" si="41"/>
        <v>0.72938185285237589</v>
      </c>
      <c r="Z47" s="16">
        <v>1.2</v>
      </c>
      <c r="AA47" s="16">
        <v>1.5</v>
      </c>
      <c r="AB47" s="20">
        <f>G47*(Z47*E47+AA47*F47)</f>
        <v>14.4</v>
      </c>
      <c r="AC47" s="20">
        <f>AB47*D47^2/8</f>
        <v>93.312000000000012</v>
      </c>
      <c r="AD47" s="16">
        <v>355</v>
      </c>
      <c r="AE47" s="63">
        <v>1.05</v>
      </c>
      <c r="AF47" s="20">
        <f t="shared" si="42"/>
        <v>338.09523809523807</v>
      </c>
      <c r="AG47" s="20">
        <f>AC47*10^6/AF47/1000</f>
        <v>275.99323943661977</v>
      </c>
      <c r="AH47" s="20">
        <f ca="1">VLOOKUP(C47,INDIRECT(B47),15,FALSE)</f>
        <v>735.5</v>
      </c>
      <c r="AI47" s="15">
        <f ca="1">AG47/AH47</f>
        <v>0.37524573682749118</v>
      </c>
    </row>
    <row r="49" spans="1:35" x14ac:dyDescent="0.25">
      <c r="A49" s="16" t="s">
        <v>239</v>
      </c>
      <c r="B49" s="17" t="s">
        <v>202</v>
      </c>
      <c r="C49" s="17" t="s">
        <v>190</v>
      </c>
      <c r="D49" s="34">
        <v>5</v>
      </c>
      <c r="E49" s="34">
        <v>1</v>
      </c>
      <c r="F49" s="34">
        <v>2.4</v>
      </c>
      <c r="G49" s="34">
        <v>2</v>
      </c>
      <c r="H49" s="15">
        <f ca="1">X49</f>
        <v>0.67811854112034242</v>
      </c>
      <c r="I49" s="15">
        <f ca="1">AI49</f>
        <v>0.45667727414409254</v>
      </c>
      <c r="J49" s="20">
        <f ca="1">VLOOKUP(C49,INDIRECT(B49),8,FALSE)</f>
        <v>22.4</v>
      </c>
      <c r="K49" s="32">
        <f ca="1">J49*D49</f>
        <v>112</v>
      </c>
      <c r="L49" s="35">
        <f ca="1">K49</f>
        <v>112</v>
      </c>
      <c r="M49" s="16">
        <v>1</v>
      </c>
      <c r="N49" s="16">
        <v>1</v>
      </c>
      <c r="O49" s="20">
        <f>G49*(M49*E49+N49*F49)</f>
        <v>6.8</v>
      </c>
      <c r="P49" s="16">
        <v>250</v>
      </c>
      <c r="Q49" s="16"/>
      <c r="R49" s="20">
        <f>D49*1000/P49</f>
        <v>20</v>
      </c>
      <c r="S49" s="62">
        <v>5</v>
      </c>
      <c r="T49" s="62">
        <v>384</v>
      </c>
      <c r="U49" s="20">
        <f t="shared" ref="U49:U51" si="44">S49*O49*(D49*1000)^4/(T49*210000*R49)/(10^6)</f>
        <v>13.175843253968253</v>
      </c>
      <c r="V49" s="20">
        <f ca="1">VLOOKUP(C49,INDIRECT(B49),13,FALSE)</f>
        <v>19.43</v>
      </c>
      <c r="W49" s="20">
        <f t="shared" ref="W49:W51" ca="1" si="45">S49*O49*D49^4/(T49*210000*V49)*1000000</f>
        <v>13.562370822406848</v>
      </c>
      <c r="X49" s="15">
        <f t="shared" ref="X49:X51" ca="1" si="46">W49/R49</f>
        <v>0.67811854112034242</v>
      </c>
      <c r="Z49" s="16">
        <v>1.2</v>
      </c>
      <c r="AA49" s="16">
        <v>1.5</v>
      </c>
      <c r="AB49" s="20">
        <f>G49*(Z49*E49+AA49*F49)</f>
        <v>9.6</v>
      </c>
      <c r="AC49" s="20">
        <f>AB49*D49^2/8</f>
        <v>30</v>
      </c>
      <c r="AD49" s="16">
        <v>355</v>
      </c>
      <c r="AE49" s="63">
        <v>1.05</v>
      </c>
      <c r="AF49" s="20">
        <f t="shared" ref="AF49:AF51" si="47">AD49/AE49</f>
        <v>338.09523809523807</v>
      </c>
      <c r="AG49" s="20">
        <f>AC49*10^6/AF49/1000</f>
        <v>88.732394366197184</v>
      </c>
      <c r="AH49" s="20">
        <f ca="1">VLOOKUP(C49,INDIRECT(B49),15,FALSE)</f>
        <v>194.3</v>
      </c>
      <c r="AI49" s="15">
        <f ca="1">AG49/AH49</f>
        <v>0.45667727414409254</v>
      </c>
    </row>
    <row r="50" spans="1:35" x14ac:dyDescent="0.25">
      <c r="A50" s="16" t="str">
        <f>A49</f>
        <v>Møre Palleservice - Gavlbjelke</v>
      </c>
      <c r="B50" s="17" t="s">
        <v>202</v>
      </c>
      <c r="C50" s="17" t="s">
        <v>193</v>
      </c>
      <c r="D50" s="16">
        <v>7.5</v>
      </c>
      <c r="E50" s="16">
        <v>1</v>
      </c>
      <c r="F50" s="16">
        <v>2.4</v>
      </c>
      <c r="G50" s="16">
        <v>2</v>
      </c>
      <c r="H50" s="15">
        <f ca="1">X50</f>
        <v>0.76802195133234641</v>
      </c>
      <c r="I50" s="15">
        <f ca="1">AI50</f>
        <v>0.46548819613882886</v>
      </c>
      <c r="J50" s="20">
        <f ca="1">VLOOKUP(C50,INDIRECT(B50),8,FALSE)</f>
        <v>36.1</v>
      </c>
      <c r="K50" s="32">
        <f ca="1">J50*D50</f>
        <v>270.75</v>
      </c>
      <c r="L50" s="35">
        <f ca="1">K50</f>
        <v>270.75</v>
      </c>
      <c r="M50" s="16">
        <v>1</v>
      </c>
      <c r="N50" s="16">
        <v>1</v>
      </c>
      <c r="O50" s="20">
        <f>G50*(M50*E50+N50*F50)</f>
        <v>6.8</v>
      </c>
      <c r="P50" s="16">
        <v>250</v>
      </c>
      <c r="Q50" s="16"/>
      <c r="R50" s="20">
        <f>D50*1000/P50</f>
        <v>30</v>
      </c>
      <c r="S50" s="62">
        <v>5</v>
      </c>
      <c r="T50" s="62">
        <v>384</v>
      </c>
      <c r="U50" s="20">
        <f t="shared" si="44"/>
        <v>44.468470982142861</v>
      </c>
      <c r="V50" s="20">
        <f ca="1">VLOOKUP(C50,INDIRECT(B50),13,FALSE)</f>
        <v>57.9</v>
      </c>
      <c r="W50" s="20">
        <f t="shared" ca="1" si="45"/>
        <v>23.040658539970391</v>
      </c>
      <c r="X50" s="15">
        <f t="shared" ca="1" si="46"/>
        <v>0.76802195133234641</v>
      </c>
      <c r="Z50" s="16">
        <v>1.2</v>
      </c>
      <c r="AA50" s="16">
        <v>1.5</v>
      </c>
      <c r="AB50" s="20">
        <f>G50*(Z50*E50+AA50*F50)</f>
        <v>9.6</v>
      </c>
      <c r="AC50" s="20">
        <f>AB50*D50^2/8</f>
        <v>67.5</v>
      </c>
      <c r="AD50" s="16">
        <v>355</v>
      </c>
      <c r="AE50" s="63">
        <v>1.05</v>
      </c>
      <c r="AF50" s="20">
        <f t="shared" si="47"/>
        <v>338.09523809523807</v>
      </c>
      <c r="AG50" s="20">
        <f>AC50*10^6/AF50/1000</f>
        <v>199.64788732394368</v>
      </c>
      <c r="AH50" s="20">
        <f ca="1">VLOOKUP(C50,INDIRECT(B50),15,FALSE)</f>
        <v>428.9</v>
      </c>
      <c r="AI50" s="15">
        <f ca="1">AG50/AH50</f>
        <v>0.46548819613882886</v>
      </c>
    </row>
    <row r="51" spans="1:35" x14ac:dyDescent="0.25">
      <c r="A51" s="16" t="str">
        <f>A50</f>
        <v>Møre Palleservice - Gavlbjelke</v>
      </c>
      <c r="B51" s="17" t="s">
        <v>170</v>
      </c>
      <c r="C51" s="17" t="s">
        <v>152</v>
      </c>
      <c r="D51" s="16">
        <v>5</v>
      </c>
      <c r="E51" s="16">
        <v>1</v>
      </c>
      <c r="F51" s="16">
        <v>2.4</v>
      </c>
      <c r="G51" s="16">
        <v>2</v>
      </c>
      <c r="H51" s="15">
        <f ca="1">X51</f>
        <v>0.16284567116510015</v>
      </c>
      <c r="I51" s="15">
        <f ca="1">AI51</f>
        <v>0.12064227650060801</v>
      </c>
      <c r="J51" s="20">
        <f ca="1">VLOOKUP(C51,INDIRECT(B51),8,FALSE)</f>
        <v>71.5</v>
      </c>
      <c r="K51" s="32">
        <f ca="1">J51*D51</f>
        <v>357.5</v>
      </c>
      <c r="L51" s="35">
        <f ca="1">K51</f>
        <v>357.5</v>
      </c>
      <c r="M51" s="16">
        <v>1</v>
      </c>
      <c r="N51" s="16">
        <v>1</v>
      </c>
      <c r="O51" s="20">
        <f>G51*(M51*E51+N51*F51)</f>
        <v>6.8</v>
      </c>
      <c r="P51" s="16">
        <v>250</v>
      </c>
      <c r="Q51" s="16"/>
      <c r="R51" s="20">
        <f>D51*1000/P51</f>
        <v>20</v>
      </c>
      <c r="S51" s="62">
        <v>5</v>
      </c>
      <c r="T51" s="62">
        <v>384</v>
      </c>
      <c r="U51" s="20">
        <f t="shared" si="44"/>
        <v>13.175843253968253</v>
      </c>
      <c r="V51" s="20">
        <f ca="1">VLOOKUP(C51,INDIRECT(B51),13,FALSE)</f>
        <v>80.91</v>
      </c>
      <c r="W51" s="20">
        <f t="shared" ca="1" si="45"/>
        <v>3.2569134233020032</v>
      </c>
      <c r="X51" s="15">
        <f t="shared" ca="1" si="46"/>
        <v>0.16284567116510015</v>
      </c>
      <c r="Z51" s="16">
        <v>1.2</v>
      </c>
      <c r="AA51" s="16">
        <v>1.5</v>
      </c>
      <c r="AB51" s="20">
        <f>G51*(Z51*E51+AA51*F51)</f>
        <v>9.6</v>
      </c>
      <c r="AC51" s="20">
        <f>AB51*D51^2/8</f>
        <v>30</v>
      </c>
      <c r="AD51" s="16">
        <v>355</v>
      </c>
      <c r="AE51" s="63">
        <v>1.05</v>
      </c>
      <c r="AF51" s="20">
        <f t="shared" si="47"/>
        <v>338.09523809523807</v>
      </c>
      <c r="AG51" s="20">
        <f>AC51*10^6/AF51/1000</f>
        <v>88.732394366197184</v>
      </c>
      <c r="AH51" s="20">
        <f ca="1">VLOOKUP(C51,INDIRECT(B51),15,FALSE)</f>
        <v>735.5</v>
      </c>
      <c r="AI51" s="15">
        <f ca="1">AG51/AH51</f>
        <v>0.12064227650060801</v>
      </c>
    </row>
    <row r="53" spans="1:35" x14ac:dyDescent="0.25">
      <c r="A53" s="16" t="s">
        <v>240</v>
      </c>
      <c r="B53" s="17" t="s">
        <v>130</v>
      </c>
      <c r="C53" s="17" t="s">
        <v>82</v>
      </c>
      <c r="D53" s="34">
        <v>2.4</v>
      </c>
      <c r="E53" s="34">
        <v>1</v>
      </c>
      <c r="F53" s="34">
        <v>2.4</v>
      </c>
      <c r="G53" s="34">
        <v>2.5</v>
      </c>
      <c r="H53" s="15">
        <f ca="1">X53</f>
        <v>0.52160039273441339</v>
      </c>
      <c r="I53" s="15">
        <f ca="1">AI53</f>
        <v>0.35122223168588218</v>
      </c>
      <c r="J53" s="20">
        <f ca="1">VLOOKUP(C53,INDIRECT(B53),8,FALSE)</f>
        <v>16.7</v>
      </c>
      <c r="K53" s="32">
        <f ca="1">J53*D53</f>
        <v>40.08</v>
      </c>
      <c r="L53" s="35">
        <f ca="1">K53</f>
        <v>40.08</v>
      </c>
      <c r="M53" s="16">
        <v>1</v>
      </c>
      <c r="N53" s="16">
        <v>1</v>
      </c>
      <c r="O53" s="20">
        <f>G53*(M53*E53+N53*F53)</f>
        <v>8.5</v>
      </c>
      <c r="P53" s="16">
        <v>250</v>
      </c>
      <c r="Q53" s="16"/>
      <c r="R53" s="20">
        <f>D53*1000/P53</f>
        <v>9.6</v>
      </c>
      <c r="S53" s="62">
        <v>5</v>
      </c>
      <c r="T53" s="62">
        <v>384</v>
      </c>
      <c r="U53" s="20">
        <f>S53*O53*(D53*1000)^4/(T53*210000*R53)/(10^6)</f>
        <v>1.8214285714285714</v>
      </c>
      <c r="V53" s="20">
        <f ca="1">VLOOKUP(C53,INDIRECT(B53),13,FALSE)</f>
        <v>3.492</v>
      </c>
      <c r="W53" s="20">
        <f ca="1">S53*O53*D53^4/(T53*210000*V53)*1000000</f>
        <v>5.0073637702503682</v>
      </c>
      <c r="X53" s="15">
        <f ca="1">W53/R53</f>
        <v>0.52160039273441339</v>
      </c>
      <c r="Z53" s="16">
        <v>1.2</v>
      </c>
      <c r="AA53" s="16">
        <v>1.5</v>
      </c>
      <c r="AB53" s="20">
        <f>G53*(Z53*E53+AA53*F53)</f>
        <v>12</v>
      </c>
      <c r="AC53" s="20">
        <f>AB53*D53^2/8</f>
        <v>8.64</v>
      </c>
      <c r="AD53" s="16">
        <v>355</v>
      </c>
      <c r="AE53" s="63">
        <v>1.05</v>
      </c>
      <c r="AF53" s="20">
        <f>AD53/AE53</f>
        <v>338.09523809523807</v>
      </c>
      <c r="AG53" s="20">
        <f>AC53*10^6/AF53/1000</f>
        <v>25.55492957746479</v>
      </c>
      <c r="AH53" s="20">
        <f ca="1">VLOOKUP(C53,INDIRECT(B53),15,FALSE)</f>
        <v>72.760000000000005</v>
      </c>
      <c r="AI53" s="15">
        <f ca="1">AG53/AH53</f>
        <v>0.35122223168588218</v>
      </c>
    </row>
    <row r="55" spans="1:35" x14ac:dyDescent="0.25">
      <c r="A55" s="16" t="s">
        <v>241</v>
      </c>
      <c r="B55" s="17" t="s">
        <v>202</v>
      </c>
      <c r="C55" s="17" t="s">
        <v>199</v>
      </c>
      <c r="D55" s="34">
        <v>8.5</v>
      </c>
      <c r="E55" s="34">
        <v>1</v>
      </c>
      <c r="F55" s="34">
        <v>2.4</v>
      </c>
      <c r="G55" s="34">
        <v>5.6</v>
      </c>
      <c r="H55" s="15">
        <f ca="1">X55</f>
        <v>0.37604184676118024</v>
      </c>
      <c r="I55" s="15">
        <f ca="1">AI55</f>
        <v>0.3724183273917363</v>
      </c>
      <c r="J55" s="20">
        <f ca="1">VLOOKUP(C55,INDIRECT(B55),8,FALSE)</f>
        <v>90.7</v>
      </c>
      <c r="K55" s="32">
        <f ca="1">J55*D55</f>
        <v>770.95</v>
      </c>
      <c r="L55" s="35">
        <f ca="1">K55</f>
        <v>770.95</v>
      </c>
      <c r="M55" s="16">
        <v>1</v>
      </c>
      <c r="N55" s="16">
        <v>1</v>
      </c>
      <c r="O55" s="20">
        <f>G55*(M55*E55+N55*F55)</f>
        <v>19.04</v>
      </c>
      <c r="P55" s="16">
        <v>250</v>
      </c>
      <c r="Q55" s="16"/>
      <c r="R55" s="20">
        <f>D55*1000/P55</f>
        <v>34</v>
      </c>
      <c r="S55" s="62">
        <v>5</v>
      </c>
      <c r="T55" s="62">
        <v>384</v>
      </c>
      <c r="U55" s="20">
        <f>S55*O55*(D55*1000)^4/(T55*210000*R55)/(10^6)</f>
        <v>181.25217013888886</v>
      </c>
      <c r="V55" s="20">
        <f ca="1">VLOOKUP(C55,INDIRECT(B55),13,FALSE)</f>
        <v>482</v>
      </c>
      <c r="W55" s="20">
        <f ca="1">S55*O55*D55^4/(T55*210000*V55)*1000000</f>
        <v>12.785422789880128</v>
      </c>
      <c r="X55" s="15">
        <f ca="1">W55/R55</f>
        <v>0.37604184676118024</v>
      </c>
      <c r="Z55" s="16">
        <v>1.2</v>
      </c>
      <c r="AA55" s="16">
        <v>1.5</v>
      </c>
      <c r="AB55" s="20">
        <f>G55*(Z55*E55+AA55*F55)</f>
        <v>26.88</v>
      </c>
      <c r="AC55" s="20">
        <f>AB55*D55^2/8</f>
        <v>242.76</v>
      </c>
      <c r="AD55" s="16">
        <v>355</v>
      </c>
      <c r="AE55" s="63">
        <v>1.05</v>
      </c>
      <c r="AF55" s="20">
        <f>AD55/AE55</f>
        <v>338.09523809523807</v>
      </c>
      <c r="AG55" s="20">
        <f>AC55*10^6/AF55/1000</f>
        <v>718.02253521126761</v>
      </c>
      <c r="AH55" s="20">
        <f ca="1">VLOOKUP(C55,INDIRECT(B55),15,FALSE)</f>
        <v>1928</v>
      </c>
      <c r="AI55" s="15">
        <f ca="1">AG55/AH55</f>
        <v>0.3724183273917363</v>
      </c>
    </row>
    <row r="56" spans="1:35" ht="14.25" customHeight="1" x14ac:dyDescent="0.25"/>
    <row r="57" spans="1:35" x14ac:dyDescent="0.25">
      <c r="A57" s="16" t="s">
        <v>243</v>
      </c>
      <c r="B57" s="17" t="s">
        <v>130</v>
      </c>
      <c r="C57" s="17" t="s">
        <v>82</v>
      </c>
      <c r="D57" s="34">
        <v>2.5</v>
      </c>
      <c r="E57" s="34">
        <v>1.5</v>
      </c>
      <c r="F57" s="34">
        <v>2.4</v>
      </c>
      <c r="G57" s="34">
        <f>3.5/2</f>
        <v>1.75</v>
      </c>
      <c r="H57" s="15">
        <f ca="1">X57</f>
        <v>0.47337785846816532</v>
      </c>
      <c r="I57" s="15">
        <f ca="1">AI57</f>
        <v>0.30011665305190127</v>
      </c>
      <c r="J57" s="20">
        <f ca="1">VLOOKUP(C57,INDIRECT(B57),8,FALSE)</f>
        <v>16.7</v>
      </c>
      <c r="K57" s="32">
        <f ca="1">J57*D57</f>
        <v>41.75</v>
      </c>
      <c r="L57" s="35">
        <f ca="1">K57</f>
        <v>41.75</v>
      </c>
      <c r="M57" s="16">
        <v>1</v>
      </c>
      <c r="N57" s="16">
        <v>1</v>
      </c>
      <c r="O57" s="20">
        <f>G57*(M57*E57+N57*F57)</f>
        <v>6.8250000000000002</v>
      </c>
      <c r="P57" s="16">
        <v>250</v>
      </c>
      <c r="Q57" s="16"/>
      <c r="R57" s="20">
        <f>D57*1000/P57</f>
        <v>10</v>
      </c>
      <c r="S57" s="62">
        <v>5</v>
      </c>
      <c r="T57" s="62">
        <v>384</v>
      </c>
      <c r="U57" s="20">
        <f t="shared" ref="U57:U58" si="48">S57*O57*(D57*1000)^4/(T57*210000*R57)/(10^6)</f>
        <v>1.6530354817708333</v>
      </c>
      <c r="V57" s="20">
        <f ca="1">VLOOKUP(C57,INDIRECT(B57),13,FALSE)</f>
        <v>3.492</v>
      </c>
      <c r="W57" s="20">
        <f t="shared" ref="W57:W58" ca="1" si="49">S57*O57*D57^4/(T57*210000*V57)*1000000</f>
        <v>4.7337785846816534</v>
      </c>
      <c r="X57" s="15">
        <f t="shared" ref="X57:X58" ca="1" si="50">W57/R57</f>
        <v>0.47337785846816532</v>
      </c>
      <c r="Z57" s="16">
        <v>1.2</v>
      </c>
      <c r="AA57" s="16">
        <v>1.5</v>
      </c>
      <c r="AB57" s="20">
        <f>G57*(Z57*E57+AA57*F57)</f>
        <v>9.4499999999999993</v>
      </c>
      <c r="AC57" s="20">
        <f>AB57*D57^2/8</f>
        <v>7.3828124999999991</v>
      </c>
      <c r="AD57" s="16">
        <v>355</v>
      </c>
      <c r="AE57" s="63">
        <v>1.05</v>
      </c>
      <c r="AF57" s="20">
        <f t="shared" ref="AF57:AF58" si="51">AD57/AE57</f>
        <v>338.09523809523807</v>
      </c>
      <c r="AG57" s="20">
        <f>AC57*10^6/AF57/1000</f>
        <v>21.83648767605634</v>
      </c>
      <c r="AH57" s="20">
        <f ca="1">VLOOKUP(C57,INDIRECT(B57),15,FALSE)</f>
        <v>72.760000000000005</v>
      </c>
      <c r="AI57" s="15">
        <f ca="1">AG57/AH57</f>
        <v>0.30011665305190127</v>
      </c>
    </row>
    <row r="58" spans="1:35" x14ac:dyDescent="0.25">
      <c r="A58" s="16" t="s">
        <v>242</v>
      </c>
      <c r="B58" s="17" t="s">
        <v>130</v>
      </c>
      <c r="C58" s="17" t="s">
        <v>85</v>
      </c>
      <c r="D58" s="34">
        <v>3.5</v>
      </c>
      <c r="E58" s="34">
        <v>1.5</v>
      </c>
      <c r="F58" s="34">
        <v>2.4</v>
      </c>
      <c r="G58" s="34">
        <f>3.5/2</f>
        <v>1.75</v>
      </c>
      <c r="H58" s="15">
        <f ca="1">X58</f>
        <v>0.74825624579003081</v>
      </c>
      <c r="I58" s="15">
        <f ca="1">AI58</f>
        <v>0.40262949995362574</v>
      </c>
      <c r="J58" s="20">
        <f ca="1">VLOOKUP(C58,INDIRECT(B58),8,FALSE)</f>
        <v>19.899999999999999</v>
      </c>
      <c r="K58" s="32">
        <f ca="1">J58*D58</f>
        <v>69.649999999999991</v>
      </c>
      <c r="L58" s="35">
        <f ca="1">K58</f>
        <v>69.649999999999991</v>
      </c>
      <c r="M58" s="16">
        <v>1</v>
      </c>
      <c r="N58" s="16">
        <v>1</v>
      </c>
      <c r="O58" s="20">
        <f>G58*(M58*E58+N58*F58)</f>
        <v>6.8250000000000002</v>
      </c>
      <c r="P58" s="16">
        <v>250</v>
      </c>
      <c r="Q58" s="16"/>
      <c r="R58" s="20">
        <f>D58*1000/P58</f>
        <v>14</v>
      </c>
      <c r="S58" s="62">
        <v>5</v>
      </c>
      <c r="T58" s="62">
        <v>384</v>
      </c>
      <c r="U58" s="20">
        <f t="shared" si="48"/>
        <v>4.535929361979167</v>
      </c>
      <c r="V58" s="20">
        <f ca="1">VLOOKUP(C58,INDIRECT(B58),13,FALSE)</f>
        <v>6.0620000000000003</v>
      </c>
      <c r="W58" s="20">
        <f t="shared" ca="1" si="49"/>
        <v>10.475587441060432</v>
      </c>
      <c r="X58" s="15">
        <f t="shared" ca="1" si="50"/>
        <v>0.74825624579003081</v>
      </c>
      <c r="Z58" s="16">
        <v>1.2</v>
      </c>
      <c r="AA58" s="16">
        <v>1.5</v>
      </c>
      <c r="AB58" s="20">
        <f>G58*(Z58*E58+AA58*F58)</f>
        <v>9.4499999999999993</v>
      </c>
      <c r="AC58" s="20">
        <f>AB58*D58^2/8</f>
        <v>14.470312499999999</v>
      </c>
      <c r="AD58" s="16">
        <v>355</v>
      </c>
      <c r="AE58" s="63">
        <v>1.05</v>
      </c>
      <c r="AF58" s="20">
        <f t="shared" si="51"/>
        <v>338.09523809523807</v>
      </c>
      <c r="AG58" s="20">
        <f>AC58*10^6/AF58/1000</f>
        <v>42.799515845070417</v>
      </c>
      <c r="AH58" s="20">
        <f ca="1">VLOOKUP(C58,INDIRECT(B58),15,FALSE)</f>
        <v>106.3</v>
      </c>
      <c r="AI58" s="15">
        <f ca="1">AG58/AH58</f>
        <v>0.40262949995362574</v>
      </c>
    </row>
    <row r="60" spans="1:35" x14ac:dyDescent="0.25">
      <c r="A60" s="16" t="s">
        <v>244</v>
      </c>
      <c r="B60" s="17" t="s">
        <v>170</v>
      </c>
      <c r="C60" s="17" t="s">
        <v>150</v>
      </c>
      <c r="D60" s="34">
        <v>3.4460000000000002</v>
      </c>
      <c r="E60" s="34">
        <f>1.25*1.25+0.8</f>
        <v>2.3624999999999998</v>
      </c>
      <c r="F60" s="34">
        <f>2.4+3</f>
        <v>5.4</v>
      </c>
      <c r="G60" s="34">
        <v>3.5</v>
      </c>
      <c r="H60" s="15">
        <f ca="1">X60</f>
        <v>0.44984491828458423</v>
      </c>
      <c r="I60" s="15">
        <f ca="1">AI60</f>
        <v>0.39471595974525814</v>
      </c>
      <c r="J60" s="20">
        <f ca="1">VLOOKUP(C60,INDIRECT(B60),8,FALSE)</f>
        <v>51.2</v>
      </c>
      <c r="K60" s="32">
        <f ca="1">J60*D60</f>
        <v>176.43520000000001</v>
      </c>
      <c r="L60" s="35">
        <f ca="1">K60</f>
        <v>176.43520000000001</v>
      </c>
      <c r="M60" s="16">
        <v>1</v>
      </c>
      <c r="N60" s="16">
        <v>1</v>
      </c>
      <c r="O60" s="20">
        <f>G60*(M60*E60+N60*F60)</f>
        <v>27.168749999999999</v>
      </c>
      <c r="P60" s="16">
        <v>250</v>
      </c>
      <c r="Q60" s="16"/>
      <c r="R60" s="20">
        <f>D60*1000/P60</f>
        <v>13.784000000000001</v>
      </c>
      <c r="S60" s="62">
        <v>5</v>
      </c>
      <c r="T60" s="62">
        <v>384</v>
      </c>
      <c r="U60" s="20">
        <f>S60*O60*(D60*1000)^4/(T60*210000*R60)/(10^6)</f>
        <v>17.233558819482418</v>
      </c>
      <c r="V60" s="20">
        <f ca="1">VLOOKUP(C60,INDIRECT(B60),13,FALSE)</f>
        <v>38.31</v>
      </c>
      <c r="W60" s="20">
        <f ca="1">S60*O60*D60^4/(T60*210000*V60)*1000000</f>
        <v>6.2006623536347094</v>
      </c>
      <c r="X60" s="15">
        <f ca="1">W60/R60</f>
        <v>0.44984491828458423</v>
      </c>
      <c r="Z60" s="16">
        <v>1.2</v>
      </c>
      <c r="AA60" s="16">
        <v>1.5</v>
      </c>
      <c r="AB60" s="20">
        <f>G60*(Z60*E60+AA60*F60)</f>
        <v>38.272500000000001</v>
      </c>
      <c r="AC60" s="20">
        <f>AB60*D60^2/8</f>
        <v>56.810340326250007</v>
      </c>
      <c r="AD60" s="16">
        <v>355</v>
      </c>
      <c r="AE60" s="63">
        <v>1.05</v>
      </c>
      <c r="AF60" s="20">
        <f>AD60/AE60</f>
        <v>338.09523809523807</v>
      </c>
      <c r="AG60" s="20">
        <f>AC60*10^6/AF60/1000</f>
        <v>168.03058406355638</v>
      </c>
      <c r="AH60" s="20">
        <f ca="1">VLOOKUP(C60,INDIRECT(B60),15,FALSE)</f>
        <v>425.7</v>
      </c>
      <c r="AI60" s="15">
        <f ca="1">AG60/AH60</f>
        <v>0.39471595974525814</v>
      </c>
    </row>
    <row r="62" spans="1:35" x14ac:dyDescent="0.25">
      <c r="A62" s="16" t="s">
        <v>245</v>
      </c>
      <c r="B62" s="17" t="s">
        <v>202</v>
      </c>
      <c r="C62" s="17" t="s">
        <v>200</v>
      </c>
      <c r="D62" s="34">
        <v>9.1999999999999993</v>
      </c>
      <c r="E62" s="34">
        <v>0.5</v>
      </c>
      <c r="F62" s="34">
        <v>8</v>
      </c>
      <c r="G62" s="34">
        <v>5</v>
      </c>
      <c r="H62" s="15">
        <f ca="1">X62</f>
        <v>0.76429313406928123</v>
      </c>
      <c r="I62" s="15">
        <f ca="1">AI62</f>
        <v>0.80764290783620185</v>
      </c>
      <c r="J62" s="20">
        <f ca="1">VLOOKUP(C62,INDIRECT(B62),8,FALSE)</f>
        <v>105.5</v>
      </c>
      <c r="K62" s="32">
        <f ca="1">J62*D62</f>
        <v>970.59999999999991</v>
      </c>
      <c r="L62" s="35">
        <f ca="1">K62</f>
        <v>970.59999999999991</v>
      </c>
      <c r="M62" s="16">
        <v>1</v>
      </c>
      <c r="N62" s="16">
        <v>1</v>
      </c>
      <c r="O62" s="20">
        <f>G62*(M62*E62+N62*F62)</f>
        <v>42.5</v>
      </c>
      <c r="P62" s="16">
        <v>250</v>
      </c>
      <c r="Q62" s="16"/>
      <c r="R62" s="20">
        <f>D62*1000/P62</f>
        <v>36.799999999999997</v>
      </c>
      <c r="S62" s="62">
        <v>5</v>
      </c>
      <c r="T62" s="62">
        <v>384</v>
      </c>
      <c r="U62" s="20">
        <f>S62*O62*(D62*1000)^4/(T62*210000*R62)/(10^6)</f>
        <v>512.99355158730157</v>
      </c>
      <c r="V62" s="20">
        <f ca="1">VLOOKUP(C62,INDIRECT(B62),13,FALSE)</f>
        <v>671.2</v>
      </c>
      <c r="W62" s="20">
        <f ca="1">S62*O62*D62^4/(T62*210000*V62)*1000000</f>
        <v>28.125987333749546</v>
      </c>
      <c r="X62" s="15">
        <f ca="1">W62/R62</f>
        <v>0.76429313406928123</v>
      </c>
      <c r="Z62" s="16">
        <v>1.2</v>
      </c>
      <c r="AA62" s="16">
        <v>1.5</v>
      </c>
      <c r="AB62" s="20">
        <f>G62*(Z62*E62+AA62*F62)</f>
        <v>63</v>
      </c>
      <c r="AC62" s="20">
        <f>AB62*D62^2/8</f>
        <v>666.53999999999985</v>
      </c>
      <c r="AD62" s="16">
        <v>355</v>
      </c>
      <c r="AE62" s="63">
        <v>1.05</v>
      </c>
      <c r="AF62" s="20">
        <f>AD62/AE62</f>
        <v>338.09523809523807</v>
      </c>
      <c r="AG62" s="20">
        <f>AC62*10^6/AF62/1000</f>
        <v>1971.4563380281688</v>
      </c>
      <c r="AH62" s="20">
        <f ca="1">VLOOKUP(C62,INDIRECT(B62),15,FALSE)</f>
        <v>2441</v>
      </c>
      <c r="AI62" s="15">
        <f ca="1">AG62/AH62</f>
        <v>0.80764290783620185</v>
      </c>
    </row>
    <row r="64" spans="1:35" x14ac:dyDescent="0.25">
      <c r="A64" s="16" t="s">
        <v>246</v>
      </c>
      <c r="B64" s="17" t="s">
        <v>202</v>
      </c>
      <c r="C64" s="17" t="s">
        <v>194</v>
      </c>
      <c r="D64" s="34">
        <v>8</v>
      </c>
      <c r="E64" s="34">
        <v>1.2</v>
      </c>
      <c r="F64" s="34">
        <v>2.4</v>
      </c>
      <c r="G64" s="34">
        <f>4.5/2</f>
        <v>2.25</v>
      </c>
      <c r="H64" s="15">
        <f ca="1">X64</f>
        <v>0.76933597756958216</v>
      </c>
      <c r="I64" s="15">
        <f ca="1">AI64</f>
        <v>0.48164918428178111</v>
      </c>
      <c r="J64" s="20">
        <f ca="1">VLOOKUP(C64,INDIRECT(B64),8,FALSE)</f>
        <v>42.2</v>
      </c>
      <c r="K64" s="32">
        <f ca="1">J64*D64</f>
        <v>337.6</v>
      </c>
      <c r="L64" s="35">
        <f ca="1">K64</f>
        <v>337.6</v>
      </c>
      <c r="M64" s="16">
        <v>1</v>
      </c>
      <c r="N64" s="16">
        <v>1</v>
      </c>
      <c r="O64" s="20">
        <f>G64*(M64*E64+N64*F64)</f>
        <v>8.1</v>
      </c>
      <c r="P64" s="16">
        <v>250</v>
      </c>
      <c r="Q64" s="16"/>
      <c r="R64" s="20">
        <f>D64*1000/P64</f>
        <v>32</v>
      </c>
      <c r="S64" s="62">
        <v>5</v>
      </c>
      <c r="T64" s="62">
        <v>384</v>
      </c>
      <c r="U64" s="20">
        <f>S64*O64*(D64*1000)^4/(T64*210000*R64)/(10^6)</f>
        <v>64.285714285714278</v>
      </c>
      <c r="V64" s="20">
        <f ca="1">VLOOKUP(C64,INDIRECT(B64),13,FALSE)</f>
        <v>83.56</v>
      </c>
      <c r="W64" s="20">
        <f ca="1">S64*O64*D64^4/(T64*210000*V64)*1000000</f>
        <v>24.618751282226629</v>
      </c>
      <c r="X64" s="15">
        <f ca="1">W64/R64</f>
        <v>0.76933597756958216</v>
      </c>
      <c r="Z64" s="16">
        <v>1.2</v>
      </c>
      <c r="AA64" s="16">
        <v>1.5</v>
      </c>
      <c r="AB64" s="20">
        <f>G64*(Z64*E64+AA64*F64)</f>
        <v>11.339999999999998</v>
      </c>
      <c r="AC64" s="20">
        <f>AB64*D64^2/8</f>
        <v>90.719999999999985</v>
      </c>
      <c r="AD64" s="16">
        <v>355</v>
      </c>
      <c r="AE64" s="63">
        <v>1.05</v>
      </c>
      <c r="AF64" s="20">
        <f>AD64/AE64</f>
        <v>338.09523809523807</v>
      </c>
      <c r="AG64" s="20">
        <f>AC64*10^6/AF64/1000</f>
        <v>268.32676056338028</v>
      </c>
      <c r="AH64" s="20">
        <f ca="1">VLOOKUP(C64,INDIRECT(B64),15,FALSE)</f>
        <v>557.1</v>
      </c>
      <c r="AI64" s="15">
        <f ca="1">AG64/AH64</f>
        <v>0.48164918428178111</v>
      </c>
    </row>
    <row r="66" spans="1:35" x14ac:dyDescent="0.25">
      <c r="A66" s="16" t="s">
        <v>247</v>
      </c>
      <c r="B66" s="17" t="s">
        <v>202</v>
      </c>
      <c r="C66" s="17" t="s">
        <v>196</v>
      </c>
      <c r="D66" s="34">
        <v>7.7</v>
      </c>
      <c r="E66" s="34">
        <v>1</v>
      </c>
      <c r="F66" s="34">
        <v>2.4</v>
      </c>
      <c r="G66" s="34">
        <v>5</v>
      </c>
      <c r="H66" s="15">
        <f ca="1">X66</f>
        <v>0.73942314053643388</v>
      </c>
      <c r="I66" s="15">
        <f ca="1">AI66</f>
        <v>0.58222041411817527</v>
      </c>
      <c r="J66" s="20">
        <f ca="1">VLOOKUP(C66,INDIRECT(B66),8,FALSE)</f>
        <v>57.1</v>
      </c>
      <c r="K66" s="32">
        <f ca="1">J66*D66</f>
        <v>439.67</v>
      </c>
      <c r="L66" s="35">
        <f ca="1">K66</f>
        <v>439.67</v>
      </c>
      <c r="M66" s="16">
        <v>1</v>
      </c>
      <c r="N66" s="16">
        <v>1</v>
      </c>
      <c r="O66" s="20">
        <f>G66*(M66*E66+N66*F66)</f>
        <v>17</v>
      </c>
      <c r="P66" s="16">
        <v>250</v>
      </c>
      <c r="Q66" s="16"/>
      <c r="R66" s="20">
        <f>D66*1000/P66</f>
        <v>30.8</v>
      </c>
      <c r="S66" s="62">
        <v>5</v>
      </c>
      <c r="T66" s="62">
        <v>384</v>
      </c>
      <c r="U66" s="20">
        <f>S66*O66*(D66*1000)^4/(T66*210000*R66)/(10^6)</f>
        <v>120.30414496527777</v>
      </c>
      <c r="V66" s="20">
        <f ca="1">VLOOKUP(C66,INDIRECT(B66),13,FALSE)</f>
        <v>162.69999999999999</v>
      </c>
      <c r="W66" s="20">
        <f ca="1">S66*O66*D66^4/(T66*210000*V66)*1000000</f>
        <v>22.774232728522165</v>
      </c>
      <c r="X66" s="15">
        <f ca="1">W66/R66</f>
        <v>0.73942314053643388</v>
      </c>
      <c r="Z66" s="16">
        <v>1.2</v>
      </c>
      <c r="AA66" s="16">
        <v>1.5</v>
      </c>
      <c r="AB66" s="20">
        <f>G66*(Z66*E66+AA66*F66)</f>
        <v>24</v>
      </c>
      <c r="AC66" s="20">
        <f>AB66*D66^2/8</f>
        <v>177.87</v>
      </c>
      <c r="AD66" s="16">
        <v>355</v>
      </c>
      <c r="AE66" s="63">
        <v>1.05</v>
      </c>
      <c r="AF66" s="20">
        <f>AD66/AE66</f>
        <v>338.09523809523807</v>
      </c>
      <c r="AG66" s="20">
        <f>AC66*10^6/AF66/1000</f>
        <v>526.09436619718315</v>
      </c>
      <c r="AH66" s="20">
        <f ca="1">VLOOKUP(C66,INDIRECT(B66),15,FALSE)</f>
        <v>903.6</v>
      </c>
      <c r="AI66" s="15">
        <f ca="1">AG66/AH66</f>
        <v>0.58222041411817527</v>
      </c>
    </row>
    <row r="68" spans="1:35" x14ac:dyDescent="0.25">
      <c r="A68" s="16" t="s">
        <v>248</v>
      </c>
      <c r="B68" s="17" t="s">
        <v>202</v>
      </c>
      <c r="C68" s="17" t="s">
        <v>194</v>
      </c>
      <c r="D68" s="34">
        <v>6.64</v>
      </c>
      <c r="E68" s="34">
        <v>1.2</v>
      </c>
      <c r="F68" s="34">
        <v>2.4</v>
      </c>
      <c r="G68" s="34">
        <v>5</v>
      </c>
      <c r="H68" s="15">
        <f ca="1">X68</f>
        <v>0.97754735690350802</v>
      </c>
      <c r="I68" s="15">
        <f ca="1">AI68</f>
        <v>0.73735138455937554</v>
      </c>
      <c r="J68" s="20">
        <f ca="1">VLOOKUP(C68,INDIRECT(B68),8,FALSE)</f>
        <v>42.2</v>
      </c>
      <c r="K68" s="32">
        <f ca="1">J68*D68</f>
        <v>280.20800000000003</v>
      </c>
      <c r="L68" s="35">
        <f ca="1">K68</f>
        <v>280.20800000000003</v>
      </c>
      <c r="M68" s="16">
        <v>1</v>
      </c>
      <c r="N68" s="16">
        <v>1</v>
      </c>
      <c r="O68" s="20">
        <f>G68*(M68*E68+N68*F68)</f>
        <v>18</v>
      </c>
      <c r="P68" s="16">
        <v>250</v>
      </c>
      <c r="Q68" s="16"/>
      <c r="R68" s="20">
        <f>D68*1000/P68</f>
        <v>26.56</v>
      </c>
      <c r="S68" s="62">
        <v>5</v>
      </c>
      <c r="T68" s="62">
        <v>384</v>
      </c>
      <c r="U68" s="20">
        <f>S68*O68*(D68*1000)^4/(T68*210000*R68)/(10^6)</f>
        <v>81.68385714285715</v>
      </c>
      <c r="V68" s="20">
        <f ca="1">VLOOKUP(C68,INDIRECT(B68),13,FALSE)</f>
        <v>83.56</v>
      </c>
      <c r="W68" s="20">
        <f ca="1">S68*O68*D68^4/(T68*210000*V68)*1000000</f>
        <v>25.963657799357172</v>
      </c>
      <c r="X68" s="15">
        <f ca="1">W68/R68</f>
        <v>0.97754735690350802</v>
      </c>
      <c r="Z68" s="16">
        <v>1.2</v>
      </c>
      <c r="AA68" s="16">
        <v>1.5</v>
      </c>
      <c r="AB68" s="20">
        <f>G68*(Z68*E68+AA68*F68)</f>
        <v>25.199999999999996</v>
      </c>
      <c r="AC68" s="20">
        <f>AB68*D68^2/8</f>
        <v>138.88223999999997</v>
      </c>
      <c r="AD68" s="16">
        <v>355</v>
      </c>
      <c r="AE68" s="63">
        <v>1.05</v>
      </c>
      <c r="AF68" s="20">
        <f>AD68/AE68</f>
        <v>338.09523809523807</v>
      </c>
      <c r="AG68" s="20">
        <f>AC68*10^6/AF68/1000</f>
        <v>410.77845633802815</v>
      </c>
      <c r="AH68" s="20">
        <f ca="1">VLOOKUP(C68,INDIRECT(B68),15,FALSE)</f>
        <v>557.1</v>
      </c>
      <c r="AI68" s="15">
        <f ca="1">AG68/AH68</f>
        <v>0.73735138455937554</v>
      </c>
    </row>
    <row r="70" spans="1:35" x14ac:dyDescent="0.25">
      <c r="A70" s="16" t="s">
        <v>249</v>
      </c>
      <c r="B70" s="17" t="s">
        <v>170</v>
      </c>
      <c r="C70" s="17" t="s">
        <v>168</v>
      </c>
      <c r="D70" s="34">
        <v>12</v>
      </c>
      <c r="E70" s="34">
        <f>1*6.26</f>
        <v>6.26</v>
      </c>
      <c r="F70" s="34">
        <f>3.6*6.25</f>
        <v>22.5</v>
      </c>
      <c r="G70" s="34">
        <v>5</v>
      </c>
      <c r="H70" s="15">
        <f ca="1">X70</f>
        <v>0.77955590250672213</v>
      </c>
      <c r="I70" s="15">
        <f ca="1">AI70</f>
        <v>1.0003486492726854</v>
      </c>
      <c r="J70" s="20">
        <f ca="1">VLOOKUP(C70,INDIRECT(B70),8,FALSE)</f>
        <v>291.5</v>
      </c>
      <c r="K70" s="32">
        <f ca="1">J70*D70</f>
        <v>3498</v>
      </c>
      <c r="L70" s="35">
        <f ca="1">K70</f>
        <v>3498</v>
      </c>
      <c r="M70" s="16">
        <v>1</v>
      </c>
      <c r="N70" s="16">
        <v>1</v>
      </c>
      <c r="O70" s="20">
        <f>G70*(M70*E70+N70*F70)</f>
        <v>143.79999999999998</v>
      </c>
      <c r="P70" s="16">
        <v>250</v>
      </c>
      <c r="Q70" s="16"/>
      <c r="R70" s="20">
        <f>D70*1000/P70</f>
        <v>48</v>
      </c>
      <c r="S70" s="62">
        <v>5</v>
      </c>
      <c r="T70" s="62">
        <v>384</v>
      </c>
      <c r="U70" s="20">
        <f>S70*O70*(D70*1000)^4/(T70*210000*R70)/(10^6)</f>
        <v>3851.7857142857138</v>
      </c>
      <c r="V70" s="20">
        <f ca="1">VLOOKUP(C70,INDIRECT(B70),13,FALSE)</f>
        <v>4941</v>
      </c>
      <c r="W70" s="20">
        <f ca="1">S70*O70*D70^4/(T70*210000*V70)*1000000</f>
        <v>37.418683320322664</v>
      </c>
      <c r="X70" s="15">
        <f ca="1">W70/R70</f>
        <v>0.77955590250672213</v>
      </c>
      <c r="Z70" s="16">
        <v>1.2</v>
      </c>
      <c r="AA70" s="16">
        <v>1.5</v>
      </c>
      <c r="AB70" s="20">
        <f>G70*(Z70*E70+AA70*F70)</f>
        <v>206.31</v>
      </c>
      <c r="AC70" s="20">
        <f>AB70*D70^2/8</f>
        <v>3713.58</v>
      </c>
      <c r="AD70" s="16">
        <v>355</v>
      </c>
      <c r="AE70" s="63">
        <v>1.05</v>
      </c>
      <c r="AF70" s="20">
        <f>AD70/AE70</f>
        <v>338.09523809523807</v>
      </c>
      <c r="AG70" s="20">
        <f>AC70*10^6/AF70/1000</f>
        <v>10983.828169014085</v>
      </c>
      <c r="AH70" s="20">
        <f ca="1">VLOOKUP(C70,INDIRECT(B70),15,FALSE)</f>
        <v>10980</v>
      </c>
      <c r="AI70" s="15">
        <f ca="1">AG70/AH70</f>
        <v>1.0003486492726854</v>
      </c>
    </row>
    <row r="72" spans="1:35" x14ac:dyDescent="0.25">
      <c r="A72" s="16" t="s">
        <v>249</v>
      </c>
      <c r="B72" s="17" t="s">
        <v>170</v>
      </c>
      <c r="C72" s="17" t="s">
        <v>152</v>
      </c>
      <c r="D72" s="34">
        <v>5</v>
      </c>
      <c r="E72" s="34">
        <f>1*6.26</f>
        <v>6.26</v>
      </c>
      <c r="F72" s="34">
        <f>3.6*6.25</f>
        <v>22.5</v>
      </c>
      <c r="G72" s="34">
        <v>5</v>
      </c>
      <c r="H72" s="15">
        <f ca="1">X72</f>
        <v>3.4437069872855006</v>
      </c>
      <c r="I72" s="15">
        <f ca="1">AI72</f>
        <v>2.592677923420879</v>
      </c>
      <c r="J72" s="20">
        <f ca="1">VLOOKUP(C72,INDIRECT(B72),8,FALSE)</f>
        <v>71.5</v>
      </c>
      <c r="K72" s="32">
        <f ca="1">J72*D72</f>
        <v>357.5</v>
      </c>
      <c r="L72" s="35">
        <f ca="1">K72</f>
        <v>357.5</v>
      </c>
      <c r="M72" s="16">
        <v>1</v>
      </c>
      <c r="N72" s="16">
        <v>1</v>
      </c>
      <c r="O72" s="20">
        <f>G72*(M72*E72+N72*F72)</f>
        <v>143.79999999999998</v>
      </c>
      <c r="P72" s="16">
        <v>250</v>
      </c>
      <c r="Q72" s="16"/>
      <c r="R72" s="20">
        <f>D72*1000/P72</f>
        <v>20</v>
      </c>
      <c r="S72" s="62">
        <v>5</v>
      </c>
      <c r="T72" s="62">
        <v>384</v>
      </c>
      <c r="U72" s="20">
        <f t="shared" ref="U72:U74" si="52">S72*O72*(D72*1000)^4/(T72*210000*R72)/(10^6)</f>
        <v>278.63033234126976</v>
      </c>
      <c r="V72" s="20">
        <f ca="1">VLOOKUP(C72,INDIRECT(B72),13,FALSE)</f>
        <v>80.91</v>
      </c>
      <c r="W72" s="20">
        <f t="shared" ref="W72:W74" ca="1" si="53">S72*O72*D72^4/(T72*210000*V72)*1000000</f>
        <v>68.874139745710011</v>
      </c>
      <c r="X72" s="15">
        <f t="shared" ref="X72:X74" ca="1" si="54">W72/R72</f>
        <v>3.4437069872855006</v>
      </c>
      <c r="Z72" s="16">
        <v>1.2</v>
      </c>
      <c r="AA72" s="16">
        <v>1.5</v>
      </c>
      <c r="AB72" s="20">
        <f>G72*(Z72*E72+AA72*F72)</f>
        <v>206.31</v>
      </c>
      <c r="AC72" s="20">
        <f>AB72*D72^2/8</f>
        <v>644.71875</v>
      </c>
      <c r="AD72" s="16">
        <v>355</v>
      </c>
      <c r="AE72" s="63">
        <v>1.05</v>
      </c>
      <c r="AF72" s="20">
        <f t="shared" ref="AF72:AF74" si="55">AD72/AE72</f>
        <v>338.09523809523807</v>
      </c>
      <c r="AG72" s="20">
        <f>AC72*10^6/AF72/1000</f>
        <v>1906.9146126760565</v>
      </c>
      <c r="AH72" s="20">
        <f ca="1">VLOOKUP(C72,INDIRECT(B72),15,FALSE)</f>
        <v>735.5</v>
      </c>
      <c r="AI72" s="15">
        <f ca="1">AG72/AH72</f>
        <v>2.592677923420879</v>
      </c>
    </row>
    <row r="73" spans="1:35" x14ac:dyDescent="0.25">
      <c r="A73" s="16" t="s">
        <v>249</v>
      </c>
      <c r="B73" s="17" t="s">
        <v>202</v>
      </c>
      <c r="C73" s="17" t="s">
        <v>195</v>
      </c>
      <c r="D73" s="34">
        <v>5</v>
      </c>
      <c r="E73" s="34">
        <f>1*6.26</f>
        <v>6.26</v>
      </c>
      <c r="F73" s="34">
        <f>3.6*6.25</f>
        <v>22.5</v>
      </c>
      <c r="G73" s="34">
        <v>5</v>
      </c>
      <c r="H73" s="15">
        <f ca="1">X73</f>
        <v>2.3672925432563279</v>
      </c>
      <c r="I73" s="15">
        <f ca="1">AI73</f>
        <v>2.6741194961100216</v>
      </c>
      <c r="J73" s="20">
        <f ca="1">VLOOKUP(C73,INDIRECT(B73),8,FALSE)</f>
        <v>49.1</v>
      </c>
      <c r="K73" s="32">
        <f ca="1">J73*D73</f>
        <v>245.5</v>
      </c>
      <c r="L73" s="35">
        <f ca="1">K73</f>
        <v>245.5</v>
      </c>
      <c r="M73" s="16">
        <v>1</v>
      </c>
      <c r="N73" s="16">
        <v>1</v>
      </c>
      <c r="O73" s="20">
        <f>G73*(M73*E73+N73*F73)</f>
        <v>143.79999999999998</v>
      </c>
      <c r="P73" s="16">
        <v>250</v>
      </c>
      <c r="Q73" s="16"/>
      <c r="R73" s="20">
        <f>D73*1000/P73</f>
        <v>20</v>
      </c>
      <c r="S73" s="62">
        <v>5</v>
      </c>
      <c r="T73" s="62">
        <v>384</v>
      </c>
      <c r="U73" s="20">
        <f t="shared" si="52"/>
        <v>278.63033234126976</v>
      </c>
      <c r="V73" s="20">
        <f ca="1">VLOOKUP(C73,INDIRECT(B73),13,FALSE)</f>
        <v>117.7</v>
      </c>
      <c r="W73" s="20">
        <f t="shared" ca="1" si="53"/>
        <v>47.345850865126557</v>
      </c>
      <c r="X73" s="15">
        <f t="shared" ca="1" si="54"/>
        <v>2.3672925432563279</v>
      </c>
      <c r="Z73" s="16">
        <v>1.2</v>
      </c>
      <c r="AA73" s="16">
        <v>1.5</v>
      </c>
      <c r="AB73" s="20">
        <f>G73*(Z73*E73+AA73*F73)</f>
        <v>206.31</v>
      </c>
      <c r="AC73" s="20">
        <f>AB73*D73^2/8</f>
        <v>644.71875</v>
      </c>
      <c r="AD73" s="16">
        <v>355</v>
      </c>
      <c r="AE73" s="63">
        <v>1.05</v>
      </c>
      <c r="AF73" s="20">
        <f t="shared" si="55"/>
        <v>338.09523809523807</v>
      </c>
      <c r="AG73" s="20">
        <f>AC73*10^6/AF73/1000</f>
        <v>1906.9146126760565</v>
      </c>
      <c r="AH73" s="20">
        <f ca="1">VLOOKUP(C73,INDIRECT(B73),15,FALSE)</f>
        <v>713.1</v>
      </c>
      <c r="AI73" s="15">
        <f ca="1">AG73/AH73</f>
        <v>2.6741194961100216</v>
      </c>
    </row>
    <row r="74" spans="1:35" x14ac:dyDescent="0.25">
      <c r="A74" s="16" t="s">
        <v>249</v>
      </c>
      <c r="B74" s="17" t="s">
        <v>202</v>
      </c>
      <c r="C74" s="17" t="s">
        <v>194</v>
      </c>
      <c r="D74" s="34">
        <v>5</v>
      </c>
      <c r="E74" s="34">
        <f>1*6.26</f>
        <v>6.26</v>
      </c>
      <c r="F74" s="34">
        <f>3.6*6.25</f>
        <v>22.5</v>
      </c>
      <c r="G74" s="34">
        <v>5</v>
      </c>
      <c r="H74" s="15">
        <f ca="1">X74</f>
        <v>3.3344941639692416</v>
      </c>
      <c r="I74" s="15">
        <f ca="1">AI74</f>
        <v>3.4229305558715786</v>
      </c>
      <c r="J74" s="20">
        <f ca="1">VLOOKUP(C74,INDIRECT(B74),8,FALSE)</f>
        <v>42.2</v>
      </c>
      <c r="K74" s="32">
        <f ca="1">J74*D74</f>
        <v>211</v>
      </c>
      <c r="L74" s="35">
        <f ca="1">K74</f>
        <v>211</v>
      </c>
      <c r="M74" s="16">
        <v>1</v>
      </c>
      <c r="N74" s="16">
        <v>1</v>
      </c>
      <c r="O74" s="20">
        <f>G74*(M74*E74+N74*F74)</f>
        <v>143.79999999999998</v>
      </c>
      <c r="P74" s="16">
        <v>250</v>
      </c>
      <c r="Q74" s="16"/>
      <c r="R74" s="20">
        <f>D74*1000/P74</f>
        <v>20</v>
      </c>
      <c r="S74" s="62">
        <v>5</v>
      </c>
      <c r="T74" s="62">
        <v>384</v>
      </c>
      <c r="U74" s="20">
        <f t="shared" si="52"/>
        <v>278.63033234126976</v>
      </c>
      <c r="V74" s="20">
        <f ca="1">VLOOKUP(C74,INDIRECT(B74),13,FALSE)</f>
        <v>83.56</v>
      </c>
      <c r="W74" s="20">
        <f t="shared" ca="1" si="53"/>
        <v>66.68988327938483</v>
      </c>
      <c r="X74" s="15">
        <f t="shared" ca="1" si="54"/>
        <v>3.3344941639692416</v>
      </c>
      <c r="Z74" s="16">
        <v>1.2</v>
      </c>
      <c r="AA74" s="16">
        <v>1.5</v>
      </c>
      <c r="AB74" s="20">
        <f>G74*(Z74*E74+AA74*F74)</f>
        <v>206.31</v>
      </c>
      <c r="AC74" s="20">
        <f>AB74*D74^2/8</f>
        <v>644.71875</v>
      </c>
      <c r="AD74" s="16">
        <v>355</v>
      </c>
      <c r="AE74" s="63">
        <v>1.05</v>
      </c>
      <c r="AF74" s="20">
        <f t="shared" si="55"/>
        <v>338.09523809523807</v>
      </c>
      <c r="AG74" s="20">
        <f>AC74*10^6/AF74/1000</f>
        <v>1906.9146126760565</v>
      </c>
      <c r="AH74" s="20">
        <f ca="1">VLOOKUP(C74,INDIRECT(B74),15,FALSE)</f>
        <v>557.1</v>
      </c>
      <c r="AI74" s="15">
        <f ca="1">AG74/AH74</f>
        <v>3.4229305558715786</v>
      </c>
    </row>
    <row r="76" spans="1:35" x14ac:dyDescent="0.25">
      <c r="A76" s="16" t="s">
        <v>253</v>
      </c>
      <c r="B76" s="17" t="s">
        <v>202</v>
      </c>
      <c r="C76" s="17" t="s">
        <v>193</v>
      </c>
      <c r="D76" s="34">
        <v>5.2</v>
      </c>
      <c r="E76" s="34">
        <f>5.88*1.5</f>
        <v>8.82</v>
      </c>
      <c r="F76" s="34">
        <v>16.600000000000001</v>
      </c>
      <c r="G76" s="34">
        <v>1</v>
      </c>
      <c r="H76" s="15">
        <f ca="1">X76</f>
        <v>0.95689989582476653</v>
      </c>
      <c r="I76" s="15">
        <f ca="1">AI76</f>
        <v>0.8270926674526059</v>
      </c>
      <c r="J76" s="20">
        <f ca="1">VLOOKUP(C76,INDIRECT(B76),8,FALSE)</f>
        <v>36.1</v>
      </c>
      <c r="K76" s="32">
        <f ca="1">J76*D76</f>
        <v>187.72000000000003</v>
      </c>
      <c r="L76" s="35">
        <f ca="1">K76</f>
        <v>187.72000000000003</v>
      </c>
      <c r="M76" s="16">
        <v>1</v>
      </c>
      <c r="N76" s="16">
        <v>1</v>
      </c>
      <c r="O76" s="20">
        <f>G76*(M76*E76+N76*F76)</f>
        <v>25.42</v>
      </c>
      <c r="P76" s="16">
        <v>250</v>
      </c>
      <c r="Q76" s="16"/>
      <c r="R76" s="20">
        <f>D76*1000/P76</f>
        <v>20.8</v>
      </c>
      <c r="S76" s="62">
        <v>5</v>
      </c>
      <c r="T76" s="62">
        <v>384</v>
      </c>
      <c r="U76" s="20">
        <f t="shared" ref="U76:U78" si="56">S76*O76*(D76*1000)^4/(T76*210000*R76)/(10^6)</f>
        <v>55.40450396825397</v>
      </c>
      <c r="V76" s="20">
        <f ca="1">VLOOKUP(C76,INDIRECT(B76),13,FALSE)</f>
        <v>57.9</v>
      </c>
      <c r="W76" s="20">
        <f t="shared" ref="W76:W78" ca="1" si="57">S76*O76*D76^4/(T76*210000*V76)*1000000</f>
        <v>19.903517833155146</v>
      </c>
      <c r="X76" s="15">
        <f t="shared" ref="X76:X78" ca="1" si="58">W76/R76</f>
        <v>0.95689989582476653</v>
      </c>
      <c r="Z76" s="16">
        <v>1.2</v>
      </c>
      <c r="AA76" s="16">
        <v>1.5</v>
      </c>
      <c r="AB76" s="20">
        <f>G76*(Z76*E76+AA76*F76)</f>
        <v>35.484000000000002</v>
      </c>
      <c r="AC76" s="20">
        <f>AB76*D76^2/8</f>
        <v>119.93592000000002</v>
      </c>
      <c r="AD76" s="16">
        <v>355</v>
      </c>
      <c r="AE76" s="63">
        <v>1.05</v>
      </c>
      <c r="AF76" s="20">
        <f t="shared" ref="AF76:AF78" si="59">AD76/AE76</f>
        <v>338.09523809523807</v>
      </c>
      <c r="AG76" s="20">
        <f>AC76*10^6/AF76/1000</f>
        <v>354.74004507042264</v>
      </c>
      <c r="AH76" s="20">
        <f ca="1">VLOOKUP(C76,INDIRECT(B76),15,FALSE)</f>
        <v>428.9</v>
      </c>
      <c r="AI76" s="15">
        <f ca="1">AG76/AH76</f>
        <v>0.8270926674526059</v>
      </c>
    </row>
    <row r="77" spans="1:35" x14ac:dyDescent="0.25">
      <c r="A77" s="16" t="s">
        <v>257</v>
      </c>
      <c r="B77" s="17" t="s">
        <v>202</v>
      </c>
      <c r="C77" s="17" t="s">
        <v>195</v>
      </c>
      <c r="D77" s="34">
        <v>6.1</v>
      </c>
      <c r="E77" s="34">
        <f>5.88*1.5</f>
        <v>8.82</v>
      </c>
      <c r="F77" s="34">
        <v>16.600000000000001</v>
      </c>
      <c r="G77" s="34">
        <v>1</v>
      </c>
      <c r="H77" s="15">
        <f ca="1">X77</f>
        <v>0.7598853685174507</v>
      </c>
      <c r="I77" s="15">
        <f ca="1">AI77</f>
        <v>0.6845619611653937</v>
      </c>
      <c r="J77" s="20">
        <f ca="1">VLOOKUP(C77,INDIRECT(B77),8,FALSE)</f>
        <v>49.1</v>
      </c>
      <c r="K77" s="32">
        <f ca="1">J77*D77</f>
        <v>299.51</v>
      </c>
      <c r="L77" s="35">
        <f ca="1">K77</f>
        <v>299.51</v>
      </c>
      <c r="M77" s="16">
        <v>1</v>
      </c>
      <c r="N77" s="16">
        <v>1</v>
      </c>
      <c r="O77" s="20">
        <f>G77*(M77*E77+N77*F77)</f>
        <v>25.42</v>
      </c>
      <c r="P77" s="16">
        <v>250</v>
      </c>
      <c r="Q77" s="16"/>
      <c r="R77" s="20">
        <f>D77*1000/P77</f>
        <v>24.4</v>
      </c>
      <c r="S77" s="62">
        <v>5</v>
      </c>
      <c r="T77" s="62">
        <v>384</v>
      </c>
      <c r="U77" s="20">
        <f t="shared" si="56"/>
        <v>89.438507874503969</v>
      </c>
      <c r="V77" s="20">
        <f ca="1">VLOOKUP(C77,INDIRECT(B77),13,FALSE)</f>
        <v>117.7</v>
      </c>
      <c r="W77" s="20">
        <f t="shared" ca="1" si="57"/>
        <v>18.541202991825795</v>
      </c>
      <c r="X77" s="15">
        <f t="shared" ca="1" si="58"/>
        <v>0.7598853685174507</v>
      </c>
      <c r="Z77" s="16">
        <v>1.2</v>
      </c>
      <c r="AA77" s="16">
        <v>1.5</v>
      </c>
      <c r="AB77" s="20">
        <f>G77*(Z77*E77+AA77*F77)</f>
        <v>35.484000000000002</v>
      </c>
      <c r="AC77" s="20">
        <f>AB77*D77^2/8</f>
        <v>165.04495499999999</v>
      </c>
      <c r="AD77" s="16">
        <v>355</v>
      </c>
      <c r="AE77" s="63">
        <v>1.05</v>
      </c>
      <c r="AF77" s="20">
        <f t="shared" si="59"/>
        <v>338.09523809523807</v>
      </c>
      <c r="AG77" s="20">
        <f>AC77*10^6/AF77/1000</f>
        <v>488.16113450704228</v>
      </c>
      <c r="AH77" s="20">
        <f ca="1">VLOOKUP(C77,INDIRECT(B77),15,FALSE)</f>
        <v>713.1</v>
      </c>
      <c r="AI77" s="15">
        <f ca="1">AG77/AH77</f>
        <v>0.6845619611653937</v>
      </c>
    </row>
    <row r="78" spans="1:35" x14ac:dyDescent="0.25">
      <c r="A78" s="16" t="s">
        <v>258</v>
      </c>
      <c r="B78" s="17" t="s">
        <v>202</v>
      </c>
      <c r="C78" s="17" t="s">
        <v>197</v>
      </c>
      <c r="D78" s="34">
        <v>6.1</v>
      </c>
      <c r="E78" s="34">
        <f>(3.8+1.5+2.5)</f>
        <v>7.8</v>
      </c>
      <c r="F78" s="34">
        <v>3</v>
      </c>
      <c r="G78" s="34">
        <v>6</v>
      </c>
      <c r="H78" s="15">
        <f ca="1">X78</f>
        <v>0.98570820594774866</v>
      </c>
      <c r="I78" s="15">
        <f ca="1">AI78</f>
        <v>0.98966286734246289</v>
      </c>
      <c r="J78" s="20">
        <f ca="1">VLOOKUP(C78,INDIRECT(B78),8,FALSE)</f>
        <v>66.3</v>
      </c>
      <c r="K78" s="32">
        <f ca="1">J78*D78</f>
        <v>404.42999999999995</v>
      </c>
      <c r="L78" s="35">
        <f ca="1">K78</f>
        <v>404.42999999999995</v>
      </c>
      <c r="M78" s="16">
        <v>1</v>
      </c>
      <c r="N78" s="16">
        <v>1</v>
      </c>
      <c r="O78" s="20">
        <f>G78*(M78*E78+N78*F78)</f>
        <v>64.800000000000011</v>
      </c>
      <c r="P78" s="16">
        <v>250</v>
      </c>
      <c r="Q78" s="16"/>
      <c r="R78" s="20">
        <f>D78*1000/P78</f>
        <v>24.4</v>
      </c>
      <c r="S78" s="62">
        <v>5</v>
      </c>
      <c r="T78" s="62">
        <v>384</v>
      </c>
      <c r="U78" s="20">
        <f t="shared" si="56"/>
        <v>227.99430803571434</v>
      </c>
      <c r="V78" s="20">
        <f ca="1">VLOOKUP(C78,INDIRECT(B78),13,FALSE)</f>
        <v>231.3</v>
      </c>
      <c r="W78" s="20">
        <f t="shared" ca="1" si="57"/>
        <v>24.051280225125065</v>
      </c>
      <c r="X78" s="15">
        <f t="shared" ca="1" si="58"/>
        <v>0.98570820594774866</v>
      </c>
      <c r="Z78" s="16">
        <v>1.2</v>
      </c>
      <c r="AA78" s="16">
        <v>1.5</v>
      </c>
      <c r="AB78" s="20">
        <f>G78*(Z78*E78+AA78*F78)</f>
        <v>83.16</v>
      </c>
      <c r="AC78" s="20">
        <f>AB78*D78^2/8</f>
        <v>386.7979499999999</v>
      </c>
      <c r="AD78" s="16">
        <v>355</v>
      </c>
      <c r="AE78" s="63">
        <v>1.05</v>
      </c>
      <c r="AF78" s="20">
        <f t="shared" si="59"/>
        <v>338.09523809523807</v>
      </c>
      <c r="AG78" s="20">
        <f>AC78*10^6/AF78/1000</f>
        <v>1144.0502746478871</v>
      </c>
      <c r="AH78" s="20">
        <f ca="1">VLOOKUP(C78,INDIRECT(B78),15,FALSE)</f>
        <v>1156</v>
      </c>
      <c r="AI78" s="15">
        <f ca="1">AG78/AH78</f>
        <v>0.98966286734246289</v>
      </c>
    </row>
    <row r="80" spans="1:35" x14ac:dyDescent="0.25">
      <c r="A80" s="16" t="s">
        <v>252</v>
      </c>
      <c r="B80" s="17" t="s">
        <v>202</v>
      </c>
      <c r="C80" s="17" t="s">
        <v>196</v>
      </c>
      <c r="D80" s="34">
        <v>7</v>
      </c>
      <c r="E80" s="34">
        <v>1.5</v>
      </c>
      <c r="F80" s="34">
        <v>4</v>
      </c>
      <c r="G80" s="36">
        <f>13400/3/1000</f>
        <v>4.4666666666666668</v>
      </c>
      <c r="H80" s="15">
        <f ca="1">X80</f>
        <v>0.80280911385417375</v>
      </c>
      <c r="I80" s="15">
        <f ca="1">AI80</f>
        <v>0.69850410564315513</v>
      </c>
      <c r="J80" s="20">
        <f ca="1">VLOOKUP(C80,INDIRECT(B80),8,FALSE)</f>
        <v>57.1</v>
      </c>
      <c r="K80" s="32">
        <f ca="1">J80*D80</f>
        <v>399.7</v>
      </c>
      <c r="L80" s="35">
        <f ca="1">K80</f>
        <v>399.7</v>
      </c>
      <c r="M80" s="16">
        <v>1</v>
      </c>
      <c r="N80" s="16">
        <v>1</v>
      </c>
      <c r="O80" s="20">
        <f>G80*(M80*E80+N80*F80)</f>
        <v>24.566666666666666</v>
      </c>
      <c r="P80" s="16">
        <v>250</v>
      </c>
      <c r="Q80" s="16"/>
      <c r="R80" s="20">
        <f>D80*1000/P80</f>
        <v>28</v>
      </c>
      <c r="S80" s="62">
        <v>5</v>
      </c>
      <c r="T80" s="62">
        <v>384</v>
      </c>
      <c r="U80" s="20">
        <f t="shared" ref="U80:U82" si="60">S80*O80*(D80*1000)^4/(T80*210000*R80)/(10^6)</f>
        <v>130.61704282407405</v>
      </c>
      <c r="V80" s="20">
        <f ca="1">VLOOKUP(C80,INDIRECT(B80),13,FALSE)</f>
        <v>162.69999999999999</v>
      </c>
      <c r="W80" s="20">
        <f t="shared" ref="W80:W82" ca="1" si="61">S80*O80*D80^4/(T80*210000*V80)*1000000</f>
        <v>22.478655187916864</v>
      </c>
      <c r="X80" s="15">
        <f t="shared" ref="X80:X82" ca="1" si="62">W80/R80</f>
        <v>0.80280911385417375</v>
      </c>
      <c r="Z80" s="16">
        <v>1.2</v>
      </c>
      <c r="AA80" s="16">
        <v>1.5</v>
      </c>
      <c r="AB80" s="20">
        <f>G80*(Z80*E80+AA80*F80)</f>
        <v>34.840000000000003</v>
      </c>
      <c r="AC80" s="20">
        <f>AB80*D80^2/8</f>
        <v>213.39500000000001</v>
      </c>
      <c r="AD80" s="16">
        <v>355</v>
      </c>
      <c r="AE80" s="63">
        <v>1.05</v>
      </c>
      <c r="AF80" s="20">
        <f t="shared" ref="AF80:AF82" si="63">AD80/AE80</f>
        <v>338.09523809523807</v>
      </c>
      <c r="AG80" s="20">
        <f>AC80*10^6/AF80/1000</f>
        <v>631.16830985915499</v>
      </c>
      <c r="AH80" s="20">
        <f ca="1">VLOOKUP(C80,INDIRECT(B80),15,FALSE)</f>
        <v>903.6</v>
      </c>
      <c r="AI80" s="15">
        <f ca="1">AG80/AH80</f>
        <v>0.69850410564315513</v>
      </c>
    </row>
    <row r="81" spans="1:35" x14ac:dyDescent="0.25">
      <c r="A81" s="16" t="s">
        <v>250</v>
      </c>
      <c r="B81" s="17" t="s">
        <v>202</v>
      </c>
      <c r="C81" s="17" t="s">
        <v>195</v>
      </c>
      <c r="D81" s="34">
        <v>7</v>
      </c>
      <c r="E81" s="34">
        <v>1.5</v>
      </c>
      <c r="F81" s="34">
        <v>4</v>
      </c>
      <c r="G81" s="36">
        <f>13400/4/1000</f>
        <v>3.35</v>
      </c>
      <c r="H81" s="15">
        <f ca="1">X81</f>
        <v>0.8323091089044653</v>
      </c>
      <c r="I81" s="15">
        <f ca="1">AI81</f>
        <v>0.66382868096251046</v>
      </c>
      <c r="J81" s="20">
        <f ca="1">VLOOKUP(C81,INDIRECT(B81),8,FALSE)</f>
        <v>49.1</v>
      </c>
      <c r="K81" s="32">
        <f ca="1">J81*D81</f>
        <v>343.7</v>
      </c>
      <c r="L81" s="35">
        <f ca="1">K81</f>
        <v>343.7</v>
      </c>
      <c r="M81" s="16">
        <v>1</v>
      </c>
      <c r="N81" s="16">
        <v>1</v>
      </c>
      <c r="O81" s="20">
        <f>G81*(M81*E81+N81*F81)</f>
        <v>18.425000000000001</v>
      </c>
      <c r="P81" s="16">
        <v>250</v>
      </c>
      <c r="Q81" s="16"/>
      <c r="R81" s="20">
        <f>D81*1000/P81</f>
        <v>28</v>
      </c>
      <c r="S81" s="62">
        <v>5</v>
      </c>
      <c r="T81" s="62">
        <v>384</v>
      </c>
      <c r="U81" s="20">
        <f t="shared" si="60"/>
        <v>97.962782118055557</v>
      </c>
      <c r="V81" s="20">
        <f ca="1">VLOOKUP(C81,INDIRECT(B81),13,FALSE)</f>
        <v>117.7</v>
      </c>
      <c r="W81" s="20">
        <f t="shared" ca="1" si="61"/>
        <v>23.304655049325028</v>
      </c>
      <c r="X81" s="15">
        <f t="shared" ca="1" si="62"/>
        <v>0.8323091089044653</v>
      </c>
      <c r="Z81" s="16">
        <v>1.2</v>
      </c>
      <c r="AA81" s="16">
        <v>1.5</v>
      </c>
      <c r="AB81" s="20">
        <f>G81*(Z81*E81+AA81*F81)</f>
        <v>26.13</v>
      </c>
      <c r="AC81" s="20">
        <f>AB81*D81^2/8</f>
        <v>160.04624999999999</v>
      </c>
      <c r="AD81" s="16">
        <v>355</v>
      </c>
      <c r="AE81" s="63">
        <v>1.05</v>
      </c>
      <c r="AF81" s="20">
        <f t="shared" si="63"/>
        <v>338.09523809523807</v>
      </c>
      <c r="AG81" s="20">
        <f>AC81*10^6/AF81/1000</f>
        <v>473.37623239436624</v>
      </c>
      <c r="AH81" s="20">
        <f ca="1">VLOOKUP(C81,INDIRECT(B81),15,FALSE)</f>
        <v>713.1</v>
      </c>
      <c r="AI81" s="15">
        <f ca="1">AG81/AH81</f>
        <v>0.66382868096251046</v>
      </c>
    </row>
    <row r="82" spans="1:35" x14ac:dyDescent="0.25">
      <c r="A82" s="16" t="s">
        <v>251</v>
      </c>
      <c r="B82" s="17" t="s">
        <v>202</v>
      </c>
      <c r="C82" s="17" t="s">
        <v>194</v>
      </c>
      <c r="D82" s="34">
        <v>7</v>
      </c>
      <c r="E82" s="34">
        <v>1.5</v>
      </c>
      <c r="F82" s="34">
        <v>4</v>
      </c>
      <c r="G82" s="36">
        <f>13400/5/1000</f>
        <v>2.68</v>
      </c>
      <c r="H82" s="15">
        <f ca="1">X82</f>
        <v>0.93789164306419881</v>
      </c>
      <c r="I82" s="15">
        <f ca="1">AI82</f>
        <v>0.67977200846435648</v>
      </c>
      <c r="J82" s="20">
        <f ca="1">VLOOKUP(C82,INDIRECT(B82),8,FALSE)</f>
        <v>42.2</v>
      </c>
      <c r="K82" s="32">
        <f ca="1">J82*D82</f>
        <v>295.40000000000003</v>
      </c>
      <c r="L82" s="35">
        <f ca="1">K82</f>
        <v>295.40000000000003</v>
      </c>
      <c r="M82" s="16">
        <v>1</v>
      </c>
      <c r="N82" s="16">
        <v>1</v>
      </c>
      <c r="O82" s="20">
        <f>G82*(M82*E82+N82*F82)</f>
        <v>14.74</v>
      </c>
      <c r="P82" s="16">
        <v>250</v>
      </c>
      <c r="Q82" s="16"/>
      <c r="R82" s="20">
        <f>D82*1000/P82</f>
        <v>28</v>
      </c>
      <c r="S82" s="62">
        <v>5</v>
      </c>
      <c r="T82" s="62">
        <v>384</v>
      </c>
      <c r="U82" s="20">
        <f t="shared" si="60"/>
        <v>78.370225694444443</v>
      </c>
      <c r="V82" s="20">
        <f ca="1">VLOOKUP(C82,INDIRECT(B82),13,FALSE)</f>
        <v>83.56</v>
      </c>
      <c r="W82" s="20">
        <f t="shared" ca="1" si="61"/>
        <v>26.260966005797567</v>
      </c>
      <c r="X82" s="15">
        <f t="shared" ca="1" si="62"/>
        <v>0.93789164306419881</v>
      </c>
      <c r="Z82" s="16">
        <v>1.2</v>
      </c>
      <c r="AA82" s="16">
        <v>1.5</v>
      </c>
      <c r="AB82" s="20">
        <f>G82*(Z82*E82+AA82*F82)</f>
        <v>20.904</v>
      </c>
      <c r="AC82" s="20">
        <f>AB82*D82^2/8</f>
        <v>128.03700000000001</v>
      </c>
      <c r="AD82" s="16">
        <v>355</v>
      </c>
      <c r="AE82" s="63">
        <v>1.05</v>
      </c>
      <c r="AF82" s="20">
        <f t="shared" si="63"/>
        <v>338.09523809523807</v>
      </c>
      <c r="AG82" s="20">
        <f>AC82*10^6/AF82/1000</f>
        <v>378.70098591549299</v>
      </c>
      <c r="AH82" s="20">
        <f ca="1">VLOOKUP(C82,INDIRECT(B82),15,FALSE)</f>
        <v>557.1</v>
      </c>
      <c r="AI82" s="15">
        <f ca="1">AG82/AH82</f>
        <v>0.67977200846435648</v>
      </c>
    </row>
    <row r="84" spans="1:35" x14ac:dyDescent="0.25">
      <c r="A84" s="16" t="s">
        <v>251</v>
      </c>
      <c r="B84" s="17" t="s">
        <v>202</v>
      </c>
      <c r="C84" s="17" t="s">
        <v>194</v>
      </c>
      <c r="D84" s="34">
        <v>7</v>
      </c>
      <c r="E84" s="34">
        <v>1.5</v>
      </c>
      <c r="F84" s="34">
        <v>4</v>
      </c>
      <c r="G84" s="36">
        <f>13400/5/1000</f>
        <v>2.68</v>
      </c>
      <c r="H84" s="15">
        <f ca="1">X84</f>
        <v>0.93789164306419881</v>
      </c>
      <c r="I84" s="15">
        <f ca="1">AI84</f>
        <v>0.67977200846435648</v>
      </c>
      <c r="J84" s="20">
        <f ca="1">VLOOKUP(C84,INDIRECT(B84),8,FALSE)</f>
        <v>42.2</v>
      </c>
      <c r="K84" s="32">
        <f ca="1">J84*D84</f>
        <v>295.40000000000003</v>
      </c>
      <c r="L84" s="35">
        <f ca="1">K84</f>
        <v>295.40000000000003</v>
      </c>
      <c r="M84" s="16">
        <v>1</v>
      </c>
      <c r="N84" s="16">
        <v>1</v>
      </c>
      <c r="O84" s="20">
        <f>G84*(M84*E84+N84*F84)</f>
        <v>14.74</v>
      </c>
      <c r="P84" s="16">
        <v>250</v>
      </c>
      <c r="Q84" s="16"/>
      <c r="R84" s="20">
        <f>D84*1000/P84</f>
        <v>28</v>
      </c>
      <c r="S84" s="62">
        <v>5</v>
      </c>
      <c r="T84" s="62">
        <v>384</v>
      </c>
      <c r="U84" s="20">
        <f>S84*O84*(D84*1000)^4/(T84*210000*R84)/(10^6)</f>
        <v>78.370225694444443</v>
      </c>
      <c r="V84" s="20">
        <f ca="1">VLOOKUP(C84,INDIRECT(B84),13,FALSE)</f>
        <v>83.56</v>
      </c>
      <c r="W84" s="20">
        <f ca="1">S84*O84*D84^4/(T84*210000*V84)*1000000</f>
        <v>26.260966005797567</v>
      </c>
      <c r="X84" s="15">
        <f ca="1">W84/R84</f>
        <v>0.93789164306419881</v>
      </c>
      <c r="Z84" s="16">
        <v>1.2</v>
      </c>
      <c r="AA84" s="16">
        <v>1.5</v>
      </c>
      <c r="AB84" s="20">
        <f>G84*(Z84*E84+AA84*F84)</f>
        <v>20.904</v>
      </c>
      <c r="AC84" s="20">
        <f>AB84*D84^2/8</f>
        <v>128.03700000000001</v>
      </c>
      <c r="AD84" s="16">
        <v>355</v>
      </c>
      <c r="AE84" s="63">
        <v>1.05</v>
      </c>
      <c r="AF84" s="20">
        <f>AD84/AE84</f>
        <v>338.09523809523807</v>
      </c>
      <c r="AG84" s="20">
        <f>AC84*10^6/AF84/1000</f>
        <v>378.70098591549299</v>
      </c>
      <c r="AH84" s="20">
        <f ca="1">VLOOKUP(C84,INDIRECT(B84),15,FALSE)</f>
        <v>557.1</v>
      </c>
      <c r="AI84" s="15">
        <f ca="1">AG84/AH84</f>
        <v>0.67977200846435648</v>
      </c>
    </row>
    <row r="86" spans="1:35" x14ac:dyDescent="0.25">
      <c r="A86" s="16" t="s">
        <v>254</v>
      </c>
      <c r="B86" s="17" t="s">
        <v>202</v>
      </c>
      <c r="C86" s="17" t="s">
        <v>194</v>
      </c>
      <c r="D86" s="34">
        <v>6.1</v>
      </c>
      <c r="E86" s="34">
        <v>1.5</v>
      </c>
      <c r="F86" s="34">
        <v>2</v>
      </c>
      <c r="G86" s="34">
        <v>5.5</v>
      </c>
      <c r="H86" s="15">
        <f ca="1">X86</f>
        <v>0.81055278340829584</v>
      </c>
      <c r="I86" s="15">
        <f ca="1">AI86</f>
        <v>0.65193064688616342</v>
      </c>
      <c r="J86" s="20">
        <f ca="1">VLOOKUP(C86,INDIRECT(B86),8,FALSE)</f>
        <v>42.2</v>
      </c>
      <c r="K86" s="32">
        <f ca="1">J86*D86</f>
        <v>257.42</v>
      </c>
      <c r="L86" s="35">
        <f ca="1">K86</f>
        <v>257.42</v>
      </c>
      <c r="M86" s="16">
        <v>1</v>
      </c>
      <c r="N86" s="16">
        <v>1</v>
      </c>
      <c r="O86" s="20">
        <f>G86*(M86*E86+N86*F86)</f>
        <v>19.25</v>
      </c>
      <c r="P86" s="16">
        <v>250</v>
      </c>
      <c r="Q86" s="16"/>
      <c r="R86" s="20">
        <f>D86*1000/P86</f>
        <v>24.4</v>
      </c>
      <c r="S86" s="62">
        <v>5</v>
      </c>
      <c r="T86" s="62">
        <v>384</v>
      </c>
      <c r="U86" s="20">
        <f t="shared" ref="U86:U88" si="64">S86*O86*(D86*1000)^4/(T86*210000*R86)/(10^6)</f>
        <v>67.729790581597229</v>
      </c>
      <c r="V86" s="20">
        <f ca="1">VLOOKUP(C86,INDIRECT(B86),13,FALSE)</f>
        <v>83.56</v>
      </c>
      <c r="W86" s="20">
        <f t="shared" ref="W86:W88" ca="1" si="65">S86*O86*D86^4/(T86*210000*V86)*1000000</f>
        <v>19.777487915162418</v>
      </c>
      <c r="X86" s="15">
        <f t="shared" ref="X86:X88" ca="1" si="66">W86/R86</f>
        <v>0.81055278340829584</v>
      </c>
      <c r="Z86" s="16">
        <v>1.2</v>
      </c>
      <c r="AA86" s="16">
        <v>1.5</v>
      </c>
      <c r="AB86" s="20">
        <f>G86*(Z86*E86+AA86*F86)</f>
        <v>26.4</v>
      </c>
      <c r="AC86" s="20">
        <f>AB86*D86^2/8</f>
        <v>122.79299999999998</v>
      </c>
      <c r="AD86" s="16">
        <v>355</v>
      </c>
      <c r="AE86" s="63">
        <v>1.05</v>
      </c>
      <c r="AF86" s="20">
        <f t="shared" ref="AF86:AF88" si="67">AD86/AE86</f>
        <v>338.09523809523807</v>
      </c>
      <c r="AG86" s="20">
        <f>AC86*10^6/AF86/1000</f>
        <v>363.19056338028167</v>
      </c>
      <c r="AH86" s="20">
        <f ca="1">VLOOKUP(C86,INDIRECT(B86),15,FALSE)</f>
        <v>557.1</v>
      </c>
      <c r="AI86" s="15">
        <f ca="1">AG86/AH86</f>
        <v>0.65193064688616342</v>
      </c>
    </row>
    <row r="87" spans="1:35" x14ac:dyDescent="0.25">
      <c r="A87" s="16" t="s">
        <v>255</v>
      </c>
      <c r="B87" s="17" t="s">
        <v>202</v>
      </c>
      <c r="C87" s="17" t="s">
        <v>197</v>
      </c>
      <c r="D87" s="34">
        <v>6</v>
      </c>
      <c r="E87" s="34">
        <f>3.8+1.5</f>
        <v>5.3</v>
      </c>
      <c r="F87" s="34">
        <v>5</v>
      </c>
      <c r="G87" s="34">
        <v>5.5</v>
      </c>
      <c r="H87" s="15">
        <f ca="1">X87</f>
        <v>0.82004470075968128</v>
      </c>
      <c r="I87" s="15">
        <f ca="1">AI87</f>
        <v>0.87769079877186984</v>
      </c>
      <c r="J87" s="20">
        <f ca="1">VLOOKUP(C87,INDIRECT(B87),8,FALSE)</f>
        <v>66.3</v>
      </c>
      <c r="K87" s="32">
        <f ca="1">J87*D87</f>
        <v>397.79999999999995</v>
      </c>
      <c r="L87" s="35">
        <f ca="1">K87</f>
        <v>397.79999999999995</v>
      </c>
      <c r="M87" s="16">
        <v>1</v>
      </c>
      <c r="N87" s="16">
        <v>1</v>
      </c>
      <c r="O87" s="20">
        <f>G87*(M87*E87+N87*F87)</f>
        <v>56.650000000000006</v>
      </c>
      <c r="P87" s="16">
        <v>250</v>
      </c>
      <c r="Q87" s="16"/>
      <c r="R87" s="20">
        <f>D87*1000/P87</f>
        <v>24</v>
      </c>
      <c r="S87" s="62">
        <v>5</v>
      </c>
      <c r="T87" s="62">
        <v>384</v>
      </c>
      <c r="U87" s="20">
        <f t="shared" si="64"/>
        <v>189.67633928571431</v>
      </c>
      <c r="V87" s="20">
        <f ca="1">VLOOKUP(C87,INDIRECT(B87),13,FALSE)</f>
        <v>231.3</v>
      </c>
      <c r="W87" s="20">
        <f t="shared" ca="1" si="65"/>
        <v>19.681072818232352</v>
      </c>
      <c r="X87" s="15">
        <f t="shared" ca="1" si="66"/>
        <v>0.82004470075968128</v>
      </c>
      <c r="Z87" s="16">
        <v>1.2</v>
      </c>
      <c r="AA87" s="16">
        <v>1.5</v>
      </c>
      <c r="AB87" s="20">
        <f>G87*(Z87*E87+AA87*F87)</f>
        <v>76.22999999999999</v>
      </c>
      <c r="AC87" s="20">
        <f>AB87*D87^2/8</f>
        <v>343.03499999999997</v>
      </c>
      <c r="AD87" s="16">
        <v>355</v>
      </c>
      <c r="AE87" s="63">
        <v>1.05</v>
      </c>
      <c r="AF87" s="20">
        <f t="shared" si="67"/>
        <v>338.09523809523807</v>
      </c>
      <c r="AG87" s="20">
        <f>AC87*10^6/AF87/1000</f>
        <v>1014.6105633802815</v>
      </c>
      <c r="AH87" s="20">
        <f ca="1">VLOOKUP(C87,INDIRECT(B87),15,FALSE)</f>
        <v>1156</v>
      </c>
      <c r="AI87" s="15">
        <f ca="1">AG87/AH87</f>
        <v>0.87769079877186984</v>
      </c>
    </row>
    <row r="88" spans="1:35" x14ac:dyDescent="0.25">
      <c r="A88" s="16" t="s">
        <v>256</v>
      </c>
      <c r="B88" s="17" t="s">
        <v>202</v>
      </c>
      <c r="C88" s="17" t="s">
        <v>194</v>
      </c>
      <c r="D88" s="34">
        <v>4</v>
      </c>
      <c r="E88" s="34">
        <f>3.8+1.5</f>
        <v>5.3</v>
      </c>
      <c r="F88" s="34">
        <v>5</v>
      </c>
      <c r="G88" s="34">
        <v>5.5</v>
      </c>
      <c r="H88" s="15">
        <f ca="1">X88</f>
        <v>0.67257535693390169</v>
      </c>
      <c r="I88" s="15">
        <f ca="1">AI88</f>
        <v>0.80943821247354875</v>
      </c>
      <c r="J88" s="20">
        <f ca="1">VLOOKUP(C88,INDIRECT(B88),8,FALSE)</f>
        <v>42.2</v>
      </c>
      <c r="K88" s="32">
        <f ca="1">J88*D88</f>
        <v>168.8</v>
      </c>
      <c r="L88" s="35">
        <f ca="1">K88</f>
        <v>168.8</v>
      </c>
      <c r="M88" s="16">
        <v>1</v>
      </c>
      <c r="N88" s="16">
        <v>1</v>
      </c>
      <c r="O88" s="20">
        <f>G88*(M88*E88+N88*F88)</f>
        <v>56.650000000000006</v>
      </c>
      <c r="P88" s="16">
        <v>250</v>
      </c>
      <c r="Q88" s="16"/>
      <c r="R88" s="20">
        <f>D88*1000/P88</f>
        <v>16</v>
      </c>
      <c r="S88" s="62">
        <v>5</v>
      </c>
      <c r="T88" s="62">
        <v>384</v>
      </c>
      <c r="U88" s="20">
        <f t="shared" si="64"/>
        <v>56.20039682539683</v>
      </c>
      <c r="V88" s="20">
        <f ca="1">VLOOKUP(C88,INDIRECT(B88),13,FALSE)</f>
        <v>83.56</v>
      </c>
      <c r="W88" s="20">
        <f t="shared" ca="1" si="65"/>
        <v>10.761205710942427</v>
      </c>
      <c r="X88" s="15">
        <f t="shared" ca="1" si="66"/>
        <v>0.67257535693390169</v>
      </c>
      <c r="Z88" s="16">
        <v>1.2</v>
      </c>
      <c r="AA88" s="16">
        <v>1.5</v>
      </c>
      <c r="AB88" s="20">
        <f>G88*(Z88*E88+AA88*F88)</f>
        <v>76.22999999999999</v>
      </c>
      <c r="AC88" s="20">
        <f>AB88*D88^2/8</f>
        <v>152.45999999999998</v>
      </c>
      <c r="AD88" s="16">
        <v>355</v>
      </c>
      <c r="AE88" s="63">
        <v>1.05</v>
      </c>
      <c r="AF88" s="20">
        <f t="shared" si="67"/>
        <v>338.09523809523807</v>
      </c>
      <c r="AG88" s="20">
        <f>AC88*10^6/AF88/1000</f>
        <v>450.93802816901405</v>
      </c>
      <c r="AH88" s="20">
        <f ca="1">VLOOKUP(C88,INDIRECT(B88),15,FALSE)</f>
        <v>557.1</v>
      </c>
      <c r="AI88" s="15">
        <f ca="1">AG88/AH88</f>
        <v>0.80943821247354875</v>
      </c>
    </row>
    <row r="90" spans="1:35" x14ac:dyDescent="0.25">
      <c r="A90" s="16" t="s">
        <v>259</v>
      </c>
      <c r="B90" s="17" t="s">
        <v>202</v>
      </c>
      <c r="C90" s="17" t="s">
        <v>193</v>
      </c>
      <c r="D90" s="34">
        <v>5.2</v>
      </c>
      <c r="E90" s="34">
        <v>1</v>
      </c>
      <c r="F90" s="34">
        <v>2.4</v>
      </c>
      <c r="G90" s="34">
        <v>5.2</v>
      </c>
      <c r="H90" s="15">
        <f ca="1">X90</f>
        <v>0.66553855854374</v>
      </c>
      <c r="I90" s="15">
        <f ca="1">AI90</f>
        <v>0.58178990473500847</v>
      </c>
      <c r="J90" s="20">
        <f ca="1">VLOOKUP(C90,INDIRECT(B90),8,FALSE)</f>
        <v>36.1</v>
      </c>
      <c r="K90" s="32">
        <f ca="1">J90*D90</f>
        <v>187.72000000000003</v>
      </c>
      <c r="L90" s="35">
        <f ca="1">K90</f>
        <v>187.72000000000003</v>
      </c>
      <c r="M90" s="16">
        <v>1</v>
      </c>
      <c r="N90" s="16">
        <v>1</v>
      </c>
      <c r="O90" s="20">
        <f>G90*(M90*E90+N90*F90)</f>
        <v>17.68</v>
      </c>
      <c r="P90" s="16">
        <v>250</v>
      </c>
      <c r="Q90" s="16"/>
      <c r="R90" s="20">
        <f>D90*1000/P90</f>
        <v>20.8</v>
      </c>
      <c r="S90" s="62">
        <v>5</v>
      </c>
      <c r="T90" s="62">
        <v>384</v>
      </c>
      <c r="U90" s="20">
        <f t="shared" ref="U90:U92" si="68">S90*O90*(D90*1000)^4/(T90*210000*R90)/(10^6)</f>
        <v>38.534682539682542</v>
      </c>
      <c r="V90" s="20">
        <f ca="1">VLOOKUP(C90,INDIRECT(B90),13,FALSE)</f>
        <v>57.9</v>
      </c>
      <c r="W90" s="20">
        <f t="shared" ref="W90:W92" ca="1" si="69">S90*O90*D90^4/(T90*210000*V90)*1000000</f>
        <v>13.843202017709793</v>
      </c>
      <c r="X90" s="15">
        <f t="shared" ref="X90:X92" ca="1" si="70">W90/R90</f>
        <v>0.66553855854374</v>
      </c>
      <c r="Z90" s="16">
        <v>1.2</v>
      </c>
      <c r="AA90" s="16">
        <v>1.5</v>
      </c>
      <c r="AB90" s="20">
        <f>G90*(Z90*E90+AA90*F90)</f>
        <v>24.96</v>
      </c>
      <c r="AC90" s="20">
        <f>AB90*D90^2/8</f>
        <v>84.364800000000017</v>
      </c>
      <c r="AD90" s="16">
        <v>355</v>
      </c>
      <c r="AE90" s="63">
        <v>1.05</v>
      </c>
      <c r="AF90" s="20">
        <f t="shared" ref="AF90:AF92" si="71">AD90/AE90</f>
        <v>338.09523809523807</v>
      </c>
      <c r="AG90" s="20">
        <f>AC90*10^6/AF90/1000</f>
        <v>249.52969014084513</v>
      </c>
      <c r="AH90" s="20">
        <f ca="1">VLOOKUP(C90,INDIRECT(B90),15,FALSE)</f>
        <v>428.9</v>
      </c>
      <c r="AI90" s="15">
        <f ca="1">AG90/AH90</f>
        <v>0.58178990473500847</v>
      </c>
    </row>
    <row r="91" spans="1:35" x14ac:dyDescent="0.25">
      <c r="A91" s="16" t="s">
        <v>259</v>
      </c>
      <c r="B91" s="17" t="s">
        <v>130</v>
      </c>
      <c r="C91" s="17" t="s">
        <v>90</v>
      </c>
      <c r="D91" s="34">
        <v>5.2</v>
      </c>
      <c r="E91" s="34">
        <v>1</v>
      </c>
      <c r="F91" s="34">
        <v>2.4</v>
      </c>
      <c r="G91" s="34">
        <v>5.2</v>
      </c>
      <c r="H91" s="15">
        <f ca="1">X91</f>
        <v>0.71228618372795838</v>
      </c>
      <c r="I91" s="15">
        <f ca="1">AI91</f>
        <v>0.48433557868952853</v>
      </c>
      <c r="J91" s="20">
        <f ca="1">VLOOKUP(C91,INDIRECT(B91),8,FALSE)</f>
        <v>50.5</v>
      </c>
      <c r="K91" s="32">
        <f ca="1">J91*D91</f>
        <v>262.60000000000002</v>
      </c>
      <c r="L91" s="35">
        <f ca="1">K91</f>
        <v>262.60000000000002</v>
      </c>
      <c r="M91" s="16">
        <v>1</v>
      </c>
      <c r="N91" s="16">
        <v>1</v>
      </c>
      <c r="O91" s="20">
        <f>G91*(M91*E91+N91*F91)</f>
        <v>17.68</v>
      </c>
      <c r="P91" s="16">
        <v>250</v>
      </c>
      <c r="Q91" s="16"/>
      <c r="R91" s="20">
        <f>D91*1000/P91</f>
        <v>20.8</v>
      </c>
      <c r="S91" s="62">
        <v>5</v>
      </c>
      <c r="T91" s="62">
        <v>384</v>
      </c>
      <c r="U91" s="20">
        <f t="shared" si="68"/>
        <v>38.534682539682542</v>
      </c>
      <c r="V91" s="20">
        <f ca="1">VLOOKUP(C91,INDIRECT(B91),13,FALSE)</f>
        <v>54.1</v>
      </c>
      <c r="W91" s="20">
        <f t="shared" ca="1" si="69"/>
        <v>14.815552621541535</v>
      </c>
      <c r="X91" s="15">
        <f t="shared" ca="1" si="70"/>
        <v>0.71228618372795838</v>
      </c>
      <c r="Z91" s="16">
        <v>1.2</v>
      </c>
      <c r="AA91" s="16">
        <v>1.5</v>
      </c>
      <c r="AB91" s="20">
        <f>G91*(Z91*E91+AA91*F91)</f>
        <v>24.96</v>
      </c>
      <c r="AC91" s="20">
        <f>AB91*D91^2/8</f>
        <v>84.364800000000017</v>
      </c>
      <c r="AD91" s="16">
        <v>355</v>
      </c>
      <c r="AE91" s="63">
        <v>1.05</v>
      </c>
      <c r="AF91" s="20">
        <f t="shared" si="71"/>
        <v>338.09523809523807</v>
      </c>
      <c r="AG91" s="20">
        <f>AC91*10^6/AF91/1000</f>
        <v>249.52969014084513</v>
      </c>
      <c r="AH91" s="20">
        <f ca="1">VLOOKUP(C91,INDIRECT(B91),15,FALSE)</f>
        <v>515.20000000000005</v>
      </c>
      <c r="AI91" s="15">
        <f ca="1">AG91/AH91</f>
        <v>0.48433557868952853</v>
      </c>
    </row>
    <row r="92" spans="1:35" x14ac:dyDescent="0.25">
      <c r="A92" s="16" t="s">
        <v>259</v>
      </c>
      <c r="B92" s="17" t="s">
        <v>170</v>
      </c>
      <c r="C92" s="17" t="s">
        <v>151</v>
      </c>
      <c r="D92" s="34">
        <v>5.2</v>
      </c>
      <c r="E92" s="34">
        <v>1</v>
      </c>
      <c r="F92" s="34">
        <v>2.4</v>
      </c>
      <c r="G92" s="34">
        <v>5.2</v>
      </c>
      <c r="H92" s="15">
        <f ca="1">X92</f>
        <v>0.67652181425004476</v>
      </c>
      <c r="I92" s="15">
        <f ca="1">AI92</f>
        <v>0.43807880993828147</v>
      </c>
      <c r="J92" s="20">
        <f ca="1">VLOOKUP(C92,INDIRECT(B92),8,FALSE)</f>
        <v>61.3</v>
      </c>
      <c r="K92" s="32">
        <f ca="1">J92*D92</f>
        <v>318.76</v>
      </c>
      <c r="L92" s="35">
        <f ca="1">K92</f>
        <v>318.76</v>
      </c>
      <c r="M92" s="16">
        <v>1</v>
      </c>
      <c r="N92" s="16">
        <v>1</v>
      </c>
      <c r="O92" s="20">
        <f>G92*(M92*E92+N92*F92)</f>
        <v>17.68</v>
      </c>
      <c r="P92" s="16">
        <v>250</v>
      </c>
      <c r="Q92" s="16"/>
      <c r="R92" s="20">
        <f>D92*1000/P92</f>
        <v>20.8</v>
      </c>
      <c r="S92" s="62">
        <v>5</v>
      </c>
      <c r="T92" s="62">
        <v>384</v>
      </c>
      <c r="U92" s="20">
        <f t="shared" si="68"/>
        <v>38.534682539682542</v>
      </c>
      <c r="V92" s="20">
        <f ca="1">VLOOKUP(C92,INDIRECT(B92),13,FALSE)</f>
        <v>56.96</v>
      </c>
      <c r="W92" s="20">
        <f t="shared" ca="1" si="69"/>
        <v>14.071653736400931</v>
      </c>
      <c r="X92" s="15">
        <f t="shared" ca="1" si="70"/>
        <v>0.67652181425004476</v>
      </c>
      <c r="Z92" s="16">
        <v>1.2</v>
      </c>
      <c r="AA92" s="16">
        <v>1.5</v>
      </c>
      <c r="AB92" s="20">
        <f>G92*(Z92*E92+AA92*F92)</f>
        <v>24.96</v>
      </c>
      <c r="AC92" s="20">
        <f>AB92*D92^2/8</f>
        <v>84.364800000000017</v>
      </c>
      <c r="AD92" s="16">
        <v>355</v>
      </c>
      <c r="AE92" s="63">
        <v>1.05</v>
      </c>
      <c r="AF92" s="20">
        <f t="shared" si="71"/>
        <v>338.09523809523807</v>
      </c>
      <c r="AG92" s="20">
        <f>AC92*10^6/AF92/1000</f>
        <v>249.52969014084513</v>
      </c>
      <c r="AH92" s="20">
        <f ca="1">VLOOKUP(C92,INDIRECT(B92),15,FALSE)</f>
        <v>569.6</v>
      </c>
      <c r="AI92" s="15">
        <f ca="1">AG92/AH92</f>
        <v>0.43807880993828147</v>
      </c>
    </row>
    <row r="94" spans="1:35" x14ac:dyDescent="0.25">
      <c r="A94" s="16" t="s">
        <v>260</v>
      </c>
      <c r="B94" s="17" t="s">
        <v>202</v>
      </c>
      <c r="C94" s="17" t="s">
        <v>195</v>
      </c>
      <c r="D94" s="34">
        <v>4.7699999999999996</v>
      </c>
      <c r="E94" s="34">
        <f>3.8+2</f>
        <v>5.8</v>
      </c>
      <c r="F94" s="34">
        <v>5</v>
      </c>
      <c r="G94" s="34">
        <f>9.4/2</f>
        <v>4.7</v>
      </c>
      <c r="H94" s="15">
        <f ca="1">X94</f>
        <v>0.72553736198453977</v>
      </c>
      <c r="I94" s="15">
        <f ca="1">AI94</f>
        <v>0.80172131760059717</v>
      </c>
      <c r="J94" s="20">
        <f ca="1">VLOOKUP(C94,INDIRECT(B94),8,FALSE)</f>
        <v>49.1</v>
      </c>
      <c r="K94" s="32">
        <f ca="1">J94*D94</f>
        <v>234.20699999999999</v>
      </c>
      <c r="L94" s="35">
        <f ca="1">K94</f>
        <v>234.20699999999999</v>
      </c>
      <c r="M94" s="16">
        <v>1</v>
      </c>
      <c r="N94" s="16">
        <v>1</v>
      </c>
      <c r="O94" s="20">
        <f>G94*(M94*E94+N94*F94)</f>
        <v>50.760000000000005</v>
      </c>
      <c r="P94" s="16">
        <v>250</v>
      </c>
      <c r="Q94" s="16"/>
      <c r="R94" s="20">
        <f>D94*1000/P94</f>
        <v>19.079999999999998</v>
      </c>
      <c r="S94" s="62">
        <v>5</v>
      </c>
      <c r="T94" s="62">
        <v>384</v>
      </c>
      <c r="U94" s="20">
        <f t="shared" ref="U94:U96" si="72">S94*O94*(D94*1000)^4/(T94*210000*R94)/(10^6)</f>
        <v>85.39574750558036</v>
      </c>
      <c r="V94" s="20">
        <f ca="1">VLOOKUP(C94,INDIRECT(B94),13,FALSE)</f>
        <v>117.7</v>
      </c>
      <c r="W94" s="20">
        <f t="shared" ref="W94:W96" ca="1" si="73">S94*O94*D94^4/(T94*210000*V94)*1000000</f>
        <v>13.843252866665019</v>
      </c>
      <c r="X94" s="15">
        <f t="shared" ref="X94:X96" ca="1" si="74">W94/R94</f>
        <v>0.72553736198453977</v>
      </c>
      <c r="Z94" s="16">
        <v>1.2</v>
      </c>
      <c r="AA94" s="16">
        <v>1.5</v>
      </c>
      <c r="AB94" s="20">
        <f>G94*(Z94*E94+AA94*F94)</f>
        <v>67.962000000000003</v>
      </c>
      <c r="AC94" s="20">
        <f>AB94*D94^2/8</f>
        <v>193.29157372499998</v>
      </c>
      <c r="AD94" s="16">
        <v>355</v>
      </c>
      <c r="AE94" s="63">
        <v>1.05</v>
      </c>
      <c r="AF94" s="20">
        <f t="shared" ref="AF94:AF96" si="75">AD94/AE94</f>
        <v>338.09523809523807</v>
      </c>
      <c r="AG94" s="20">
        <f>AC94*10^6/AF94/1000</f>
        <v>571.70747158098584</v>
      </c>
      <c r="AH94" s="20">
        <f ca="1">VLOOKUP(C94,INDIRECT(B94),15,FALSE)</f>
        <v>713.1</v>
      </c>
      <c r="AI94" s="15">
        <f ca="1">AG94/AH94</f>
        <v>0.80172131760059717</v>
      </c>
    </row>
    <row r="95" spans="1:35" x14ac:dyDescent="0.25">
      <c r="A95" s="16" t="s">
        <v>260</v>
      </c>
      <c r="B95" s="17" t="s">
        <v>170</v>
      </c>
      <c r="C95" s="17" t="s">
        <v>151</v>
      </c>
      <c r="D95" s="34">
        <v>5.2</v>
      </c>
      <c r="E95" s="34">
        <v>1</v>
      </c>
      <c r="F95" s="34">
        <v>2.4</v>
      </c>
      <c r="G95" s="34">
        <v>5.2</v>
      </c>
      <c r="H95" s="15">
        <f ca="1">X95</f>
        <v>0.67652181425004476</v>
      </c>
      <c r="I95" s="15">
        <f ca="1">AI95</f>
        <v>0.43807880993828147</v>
      </c>
      <c r="J95" s="20">
        <f ca="1">VLOOKUP(C95,INDIRECT(B95),8,FALSE)</f>
        <v>61.3</v>
      </c>
      <c r="K95" s="32">
        <f ca="1">J95*D95</f>
        <v>318.76</v>
      </c>
      <c r="L95" s="35">
        <f ca="1">K95</f>
        <v>318.76</v>
      </c>
      <c r="M95" s="16">
        <v>1</v>
      </c>
      <c r="N95" s="16">
        <v>1</v>
      </c>
      <c r="O95" s="20">
        <f>G95*(M95*E95+N95*F95)</f>
        <v>17.68</v>
      </c>
      <c r="P95" s="16">
        <v>250</v>
      </c>
      <c r="Q95" s="16"/>
      <c r="R95" s="20">
        <f>D95*1000/P95</f>
        <v>20.8</v>
      </c>
      <c r="S95" s="62">
        <v>5</v>
      </c>
      <c r="T95" s="62">
        <v>384</v>
      </c>
      <c r="U95" s="20">
        <f t="shared" si="72"/>
        <v>38.534682539682542</v>
      </c>
      <c r="V95" s="20">
        <f ca="1">VLOOKUP(C95,INDIRECT(B95),13,FALSE)</f>
        <v>56.96</v>
      </c>
      <c r="W95" s="20">
        <f t="shared" ca="1" si="73"/>
        <v>14.071653736400931</v>
      </c>
      <c r="X95" s="15">
        <f t="shared" ca="1" si="74"/>
        <v>0.67652181425004476</v>
      </c>
      <c r="Z95" s="16">
        <v>1.2</v>
      </c>
      <c r="AA95" s="16">
        <v>1.5</v>
      </c>
      <c r="AB95" s="20">
        <f>G95*(Z95*E95+AA95*F95)</f>
        <v>24.96</v>
      </c>
      <c r="AC95" s="20">
        <f>AB95*D95^2/8</f>
        <v>84.364800000000017</v>
      </c>
      <c r="AD95" s="16">
        <v>355</v>
      </c>
      <c r="AE95" s="63">
        <v>1.05</v>
      </c>
      <c r="AF95" s="20">
        <f t="shared" si="75"/>
        <v>338.09523809523807</v>
      </c>
      <c r="AG95" s="20">
        <f>AC95*10^6/AF95/1000</f>
        <v>249.52969014084513</v>
      </c>
      <c r="AH95" s="20">
        <f ca="1">VLOOKUP(C95,INDIRECT(B95),15,FALSE)</f>
        <v>569.6</v>
      </c>
      <c r="AI95" s="15">
        <f ca="1">AG95/AH95</f>
        <v>0.43807880993828147</v>
      </c>
    </row>
    <row r="96" spans="1:35" x14ac:dyDescent="0.25">
      <c r="A96" s="16" t="s">
        <v>260</v>
      </c>
      <c r="B96" s="17" t="s">
        <v>170</v>
      </c>
      <c r="C96" s="17" t="s">
        <v>151</v>
      </c>
      <c r="D96" s="34">
        <v>5.2</v>
      </c>
      <c r="E96" s="34">
        <v>1</v>
      </c>
      <c r="F96" s="34">
        <v>2.4</v>
      </c>
      <c r="G96" s="34">
        <v>5.2</v>
      </c>
      <c r="H96" s="15">
        <f ca="1">X96</f>
        <v>0.67652181425004476</v>
      </c>
      <c r="I96" s="15">
        <f ca="1">AI96</f>
        <v>0.43807880993828147</v>
      </c>
      <c r="J96" s="20">
        <f ca="1">VLOOKUP(C96,INDIRECT(B96),8,FALSE)</f>
        <v>61.3</v>
      </c>
      <c r="K96" s="32">
        <f ca="1">J96*D96</f>
        <v>318.76</v>
      </c>
      <c r="L96" s="35">
        <f ca="1">K96</f>
        <v>318.76</v>
      </c>
      <c r="M96" s="16">
        <v>1</v>
      </c>
      <c r="N96" s="16">
        <v>1</v>
      </c>
      <c r="O96" s="20">
        <f>G96*(M96*E96+N96*F96)</f>
        <v>17.68</v>
      </c>
      <c r="P96" s="16">
        <v>250</v>
      </c>
      <c r="Q96" s="16"/>
      <c r="R96" s="20">
        <f>D96*1000/P96</f>
        <v>20.8</v>
      </c>
      <c r="S96" s="62">
        <v>5</v>
      </c>
      <c r="T96" s="62">
        <v>384</v>
      </c>
      <c r="U96" s="20">
        <f t="shared" si="72"/>
        <v>38.534682539682542</v>
      </c>
      <c r="V96" s="20">
        <f ca="1">VLOOKUP(C96,INDIRECT(B96),13,FALSE)</f>
        <v>56.96</v>
      </c>
      <c r="W96" s="20">
        <f t="shared" ca="1" si="73"/>
        <v>14.071653736400931</v>
      </c>
      <c r="X96" s="15">
        <f t="shared" ca="1" si="74"/>
        <v>0.67652181425004476</v>
      </c>
      <c r="Z96" s="16">
        <v>1.2</v>
      </c>
      <c r="AA96" s="16">
        <v>1.5</v>
      </c>
      <c r="AB96" s="20">
        <f>G96*(Z96*E96+AA96*F96)</f>
        <v>24.96</v>
      </c>
      <c r="AC96" s="20">
        <f>AB96*D96^2/8</f>
        <v>84.364800000000017</v>
      </c>
      <c r="AD96" s="16">
        <v>355</v>
      </c>
      <c r="AE96" s="63">
        <v>1.05</v>
      </c>
      <c r="AF96" s="20">
        <f t="shared" si="75"/>
        <v>338.09523809523807</v>
      </c>
      <c r="AG96" s="20">
        <f>AC96*10^6/AF96/1000</f>
        <v>249.52969014084513</v>
      </c>
      <c r="AH96" s="20">
        <f ca="1">VLOOKUP(C96,INDIRECT(B96),15,FALSE)</f>
        <v>569.6</v>
      </c>
      <c r="AI96" s="15">
        <f ca="1">AG96/AH96</f>
        <v>0.43807880993828147</v>
      </c>
    </row>
    <row r="98" spans="1:35" x14ac:dyDescent="0.25">
      <c r="A98" s="16" t="s">
        <v>261</v>
      </c>
      <c r="B98" s="17" t="s">
        <v>202</v>
      </c>
      <c r="C98" s="17" t="s">
        <v>192</v>
      </c>
      <c r="D98" s="34">
        <v>4.2</v>
      </c>
      <c r="E98" s="34">
        <f>0.8+1</f>
        <v>1.8</v>
      </c>
      <c r="F98" s="34">
        <v>3.6</v>
      </c>
      <c r="G98" s="34">
        <v>3.2</v>
      </c>
      <c r="H98" s="15">
        <f ca="1">X98</f>
        <v>0.50989208633093519</v>
      </c>
      <c r="I98" s="15">
        <f ca="1">AI98</f>
        <v>0.48651290536931124</v>
      </c>
      <c r="J98" s="20">
        <f ca="1">VLOOKUP(C98,INDIRECT(B98),8,FALSE)</f>
        <v>30.7</v>
      </c>
      <c r="K98" s="32">
        <f ca="1">J98*D98</f>
        <v>128.94</v>
      </c>
      <c r="L98" s="35">
        <f ca="1">K98</f>
        <v>128.94</v>
      </c>
      <c r="M98" s="16">
        <v>1</v>
      </c>
      <c r="N98" s="16">
        <v>1</v>
      </c>
      <c r="O98" s="20">
        <f>G98*(M98*E98+N98*F98)</f>
        <v>17.28</v>
      </c>
      <c r="P98" s="16">
        <v>250</v>
      </c>
      <c r="Q98" s="16"/>
      <c r="R98" s="20">
        <f>D98*1000/P98</f>
        <v>16.8</v>
      </c>
      <c r="S98" s="62">
        <v>5</v>
      </c>
      <c r="T98" s="62">
        <v>384</v>
      </c>
      <c r="U98" s="20">
        <f>S98*O98*(D98*1000)^4/(T98*210000*R98)/(10^6)</f>
        <v>19.844999999999999</v>
      </c>
      <c r="V98" s="20">
        <f ca="1">VLOOKUP(C98,INDIRECT(B98),13,FALSE)</f>
        <v>38.92</v>
      </c>
      <c r="W98" s="20">
        <f ca="1">S98*O98*D98^4/(T98*210000*V98)*1000000</f>
        <v>8.5661870503597122</v>
      </c>
      <c r="X98" s="15">
        <f ca="1">W98/R98</f>
        <v>0.50989208633093519</v>
      </c>
      <c r="Z98" s="16">
        <v>1.2</v>
      </c>
      <c r="AA98" s="16">
        <v>1.5</v>
      </c>
      <c r="AB98" s="20">
        <f>G98*(Z98*E98+AA98*F98)</f>
        <v>24.192000000000004</v>
      </c>
      <c r="AC98" s="20">
        <f>AB98*D98^2/8</f>
        <v>53.343360000000011</v>
      </c>
      <c r="AD98" s="16">
        <v>355</v>
      </c>
      <c r="AE98" s="63">
        <v>1.05</v>
      </c>
      <c r="AF98" s="20">
        <f>AD98/AE98</f>
        <v>338.09523809523807</v>
      </c>
      <c r="AG98" s="20">
        <f>AC98*10^6/AF98/1000</f>
        <v>157.77613521126764</v>
      </c>
      <c r="AH98" s="20">
        <f ca="1">VLOOKUP(C98,INDIRECT(B98),15,FALSE)</f>
        <v>324.3</v>
      </c>
      <c r="AI98" s="15">
        <f ca="1">AG98/AH98</f>
        <v>0.48651290536931124</v>
      </c>
    </row>
    <row r="100" spans="1:35" x14ac:dyDescent="0.25">
      <c r="A100" s="16" t="s">
        <v>262</v>
      </c>
      <c r="B100" s="17" t="s">
        <v>130</v>
      </c>
      <c r="C100" s="17" t="s">
        <v>85</v>
      </c>
      <c r="D100" s="34">
        <v>3.52</v>
      </c>
      <c r="E100" s="34">
        <f>0.8+1</f>
        <v>1.8</v>
      </c>
      <c r="F100" s="34">
        <v>3.6</v>
      </c>
      <c r="G100" s="34">
        <f>2.3/2</f>
        <v>1.1499999999999999</v>
      </c>
      <c r="H100" s="15">
        <f ca="1">X100</f>
        <v>0.69256916623462328</v>
      </c>
      <c r="I100" s="15">
        <f ca="1">AI100</f>
        <v>0.3746645968757038</v>
      </c>
      <c r="J100" s="20">
        <f ca="1">VLOOKUP(C100,INDIRECT(B100),8,FALSE)</f>
        <v>19.899999999999999</v>
      </c>
      <c r="K100" s="32">
        <f ca="1">J100*D100</f>
        <v>70.048000000000002</v>
      </c>
      <c r="L100" s="35">
        <f ca="1">K100</f>
        <v>70.048000000000002</v>
      </c>
      <c r="M100" s="16">
        <v>1</v>
      </c>
      <c r="N100" s="16">
        <v>1</v>
      </c>
      <c r="O100" s="20">
        <f>G100*(M100*E100+N100*F100)</f>
        <v>6.21</v>
      </c>
      <c r="P100" s="16">
        <v>250</v>
      </c>
      <c r="Q100" s="16"/>
      <c r="R100" s="20">
        <f>D100*1000/P100</f>
        <v>14.08</v>
      </c>
      <c r="S100" s="62">
        <v>5</v>
      </c>
      <c r="T100" s="62">
        <v>384</v>
      </c>
      <c r="U100" s="20">
        <f>S100*O100*(D100*1000)^4/(T100*210000*R100)/(10^6)</f>
        <v>4.1983542857142853</v>
      </c>
      <c r="V100" s="20">
        <f ca="1">VLOOKUP(C100,INDIRECT(B100),13,FALSE)</f>
        <v>6.0620000000000003</v>
      </c>
      <c r="W100" s="20">
        <f ca="1">S100*O100*D100^4/(T100*210000*V100)*1000000</f>
        <v>9.7513738605834952</v>
      </c>
      <c r="X100" s="15">
        <f ca="1">W100/R100</f>
        <v>0.69256916623462328</v>
      </c>
      <c r="Z100" s="16">
        <v>1.2</v>
      </c>
      <c r="AA100" s="16">
        <v>1.5</v>
      </c>
      <c r="AB100" s="20">
        <f>G100*(Z100*E100+AA100*F100)</f>
        <v>8.6939999999999991</v>
      </c>
      <c r="AC100" s="20">
        <f>AB100*D100^2/8</f>
        <v>13.465267199999998</v>
      </c>
      <c r="AD100" s="16">
        <v>355</v>
      </c>
      <c r="AE100" s="63">
        <v>1.05</v>
      </c>
      <c r="AF100" s="20">
        <f>AD100/AE100</f>
        <v>338.09523809523807</v>
      </c>
      <c r="AG100" s="20">
        <f>AC100*10^6/AF100/1000</f>
        <v>39.826846647887315</v>
      </c>
      <c r="AH100" s="20">
        <f ca="1">VLOOKUP(C100,INDIRECT(B100),15,FALSE)</f>
        <v>106.3</v>
      </c>
      <c r="AI100" s="15">
        <f ca="1">AG100/AH100</f>
        <v>0.3746645968757038</v>
      </c>
    </row>
    <row r="102" spans="1:35" x14ac:dyDescent="0.25">
      <c r="A102" s="16" t="s">
        <v>277</v>
      </c>
      <c r="B102" s="17" t="s">
        <v>202</v>
      </c>
      <c r="C102" s="17" t="s">
        <v>194</v>
      </c>
      <c r="D102" s="34">
        <v>6.3</v>
      </c>
      <c r="E102" s="34">
        <f>0.5+1</f>
        <v>1.5</v>
      </c>
      <c r="F102" s="34">
        <v>3</v>
      </c>
      <c r="G102" s="34">
        <v>3</v>
      </c>
      <c r="H102" s="15">
        <f ca="1">X102</f>
        <v>0.62620492572702247</v>
      </c>
      <c r="I102" s="15">
        <f ca="1">AI102</f>
        <v>0.49782958656624726</v>
      </c>
      <c r="J102" s="20">
        <f ca="1">VLOOKUP(C102,INDIRECT(B102),8,FALSE)</f>
        <v>42.2</v>
      </c>
      <c r="K102" s="32">
        <f ca="1">J102*D102</f>
        <v>265.86</v>
      </c>
      <c r="L102" s="35">
        <f ca="1">K102</f>
        <v>265.86</v>
      </c>
      <c r="M102" s="16">
        <v>1</v>
      </c>
      <c r="N102" s="16">
        <v>1</v>
      </c>
      <c r="O102" s="20">
        <f>G102*(M102*E102+N102*F102)</f>
        <v>13.5</v>
      </c>
      <c r="P102" s="16">
        <v>250</v>
      </c>
      <c r="Q102" s="16"/>
      <c r="R102" s="20">
        <f>D102*1000/P102</f>
        <v>25.2</v>
      </c>
      <c r="S102" s="62">
        <v>5</v>
      </c>
      <c r="T102" s="62">
        <v>384</v>
      </c>
      <c r="U102" s="20">
        <f t="shared" ref="U102:U104" si="76">S102*O102*(D102*1000)^4/(T102*210000*R102)/(10^6)</f>
        <v>52.32568359375</v>
      </c>
      <c r="V102" s="20">
        <f ca="1">VLOOKUP(C102,INDIRECT(B102),13,FALSE)</f>
        <v>83.56</v>
      </c>
      <c r="W102" s="20">
        <f t="shared" ref="W102:W104" ca="1" si="77">S102*O102*D102^4/(T102*210000*V102)*1000000</f>
        <v>15.780364128320965</v>
      </c>
      <c r="X102" s="15">
        <f t="shared" ref="X102:X104" ca="1" si="78">W102/R102</f>
        <v>0.62620492572702247</v>
      </c>
      <c r="Z102" s="16">
        <v>1.2</v>
      </c>
      <c r="AA102" s="16">
        <v>1.5</v>
      </c>
      <c r="AB102" s="20">
        <f>G102*(Z102*E102+AA102*F102)</f>
        <v>18.899999999999999</v>
      </c>
      <c r="AC102" s="20">
        <f>AB102*D102^2/8</f>
        <v>93.767624999999981</v>
      </c>
      <c r="AD102" s="16">
        <v>355</v>
      </c>
      <c r="AE102" s="63">
        <v>1.05</v>
      </c>
      <c r="AF102" s="20">
        <f t="shared" ref="AF102:AF104" si="79">AD102/AE102</f>
        <v>338.09523809523807</v>
      </c>
      <c r="AG102" s="20">
        <f>AC102*10^6/AF102/1000</f>
        <v>277.34086267605636</v>
      </c>
      <c r="AH102" s="20">
        <f ca="1">VLOOKUP(C102,INDIRECT(B102),15,FALSE)</f>
        <v>557.1</v>
      </c>
      <c r="AI102" s="15">
        <f ca="1">AG102/AH102</f>
        <v>0.49782958656624726</v>
      </c>
    </row>
    <row r="103" spans="1:35" x14ac:dyDescent="0.25">
      <c r="A103" s="16" t="s">
        <v>277</v>
      </c>
      <c r="B103" s="17" t="s">
        <v>130</v>
      </c>
      <c r="C103" s="17" t="s">
        <v>91</v>
      </c>
      <c r="D103" s="34">
        <v>6.3</v>
      </c>
      <c r="E103" s="34">
        <f>0.5+1</f>
        <v>1.5</v>
      </c>
      <c r="F103" s="34">
        <v>3</v>
      </c>
      <c r="G103" s="34">
        <v>3</v>
      </c>
      <c r="H103" s="15">
        <f ca="1">X103</f>
        <v>0.6740394640441838</v>
      </c>
      <c r="I103" s="15">
        <f ca="1">AI103</f>
        <v>0.41081449070664544</v>
      </c>
      <c r="J103" s="20">
        <f ca="1">VLOOKUP(C103,INDIRECT(B103),8,FALSE)</f>
        <v>60.3</v>
      </c>
      <c r="K103" s="32">
        <f ca="1">J103*D103</f>
        <v>379.89</v>
      </c>
      <c r="L103" s="35">
        <f ca="1">K103</f>
        <v>379.89</v>
      </c>
      <c r="M103" s="16">
        <v>1</v>
      </c>
      <c r="N103" s="16">
        <v>1</v>
      </c>
      <c r="O103" s="20">
        <f>G103*(M103*E103+N103*F103)</f>
        <v>13.5</v>
      </c>
      <c r="P103" s="16">
        <v>250</v>
      </c>
      <c r="Q103" s="16"/>
      <c r="R103" s="20">
        <f>D103*1000/P103</f>
        <v>25.2</v>
      </c>
      <c r="S103" s="62">
        <v>5</v>
      </c>
      <c r="T103" s="62">
        <v>384</v>
      </c>
      <c r="U103" s="20">
        <f t="shared" si="76"/>
        <v>52.32568359375</v>
      </c>
      <c r="V103" s="20">
        <f ca="1">VLOOKUP(C103,INDIRECT(B103),13,FALSE)</f>
        <v>77.63</v>
      </c>
      <c r="W103" s="20">
        <f t="shared" ca="1" si="77"/>
        <v>16.985794493913431</v>
      </c>
      <c r="X103" s="15">
        <f t="shared" ca="1" si="78"/>
        <v>0.6740394640441838</v>
      </c>
      <c r="Z103" s="16">
        <v>1.2</v>
      </c>
      <c r="AA103" s="16">
        <v>1.5</v>
      </c>
      <c r="AB103" s="20">
        <f>G103*(Z103*E103+AA103*F103)</f>
        <v>18.899999999999999</v>
      </c>
      <c r="AC103" s="20">
        <f>AB103*D103^2/8</f>
        <v>93.767624999999981</v>
      </c>
      <c r="AD103" s="16">
        <v>355</v>
      </c>
      <c r="AE103" s="63">
        <v>1.05</v>
      </c>
      <c r="AF103" s="20">
        <f t="shared" si="79"/>
        <v>338.09523809523807</v>
      </c>
      <c r="AG103" s="20">
        <f>AC103*10^6/AF103/1000</f>
        <v>277.34086267605636</v>
      </c>
      <c r="AH103" s="20">
        <f ca="1">VLOOKUP(C103,INDIRECT(B103),15,FALSE)</f>
        <v>675.1</v>
      </c>
      <c r="AI103" s="15">
        <f ca="1">AG103/AH103</f>
        <v>0.41081449070664544</v>
      </c>
    </row>
    <row r="104" spans="1:35" x14ac:dyDescent="0.25">
      <c r="A104" s="16" t="s">
        <v>277</v>
      </c>
      <c r="B104" s="17" t="s">
        <v>170</v>
      </c>
      <c r="C104" s="17" t="s">
        <v>152</v>
      </c>
      <c r="D104" s="34">
        <v>6.3</v>
      </c>
      <c r="E104" s="34">
        <f>0.5+1</f>
        <v>1.5</v>
      </c>
      <c r="F104" s="34">
        <v>3</v>
      </c>
      <c r="G104" s="34">
        <v>3.2</v>
      </c>
      <c r="H104" s="15">
        <f ca="1">X104</f>
        <v>0.41389738598442716</v>
      </c>
      <c r="I104" s="15">
        <f ca="1">AI104</f>
        <v>0.40221652416196702</v>
      </c>
      <c r="J104" s="20">
        <f ca="1">VLOOKUP(C104,INDIRECT(B104),8,FALSE)</f>
        <v>71.5</v>
      </c>
      <c r="K104" s="32">
        <f ca="1">J104*D104</f>
        <v>450.45</v>
      </c>
      <c r="L104" s="35">
        <f ca="1">K104</f>
        <v>450.45</v>
      </c>
      <c r="M104" s="16">
        <v>1</v>
      </c>
      <c r="N104" s="16">
        <v>1</v>
      </c>
      <c r="O104" s="20">
        <f>G104*(M104*E104+N104*F104)</f>
        <v>14.4</v>
      </c>
      <c r="P104" s="16">
        <v>150</v>
      </c>
      <c r="Q104" s="16"/>
      <c r="R104" s="20">
        <f>D104*1000/P104</f>
        <v>42</v>
      </c>
      <c r="S104" s="62">
        <v>5</v>
      </c>
      <c r="T104" s="62">
        <v>384</v>
      </c>
      <c r="U104" s="20">
        <f t="shared" si="76"/>
        <v>33.488437500000003</v>
      </c>
      <c r="V104" s="20">
        <f ca="1">VLOOKUP(C104,INDIRECT(B104),13,FALSE)</f>
        <v>80.91</v>
      </c>
      <c r="W104" s="20">
        <f t="shared" ca="1" si="77"/>
        <v>17.38369021134594</v>
      </c>
      <c r="X104" s="15">
        <f t="shared" ca="1" si="78"/>
        <v>0.41389738598442716</v>
      </c>
      <c r="Z104" s="16">
        <v>1.2</v>
      </c>
      <c r="AA104" s="16">
        <v>1.5</v>
      </c>
      <c r="AB104" s="20">
        <f>G104*(Z104*E104+AA104*F104)</f>
        <v>20.16</v>
      </c>
      <c r="AC104" s="20">
        <f>AB104*D104^2/8</f>
        <v>100.0188</v>
      </c>
      <c r="AD104" s="16">
        <v>355</v>
      </c>
      <c r="AE104" s="63">
        <v>1.05</v>
      </c>
      <c r="AF104" s="20">
        <f t="shared" si="79"/>
        <v>338.09523809523807</v>
      </c>
      <c r="AG104" s="20">
        <f>AC104*10^6/AF104/1000</f>
        <v>295.83025352112674</v>
      </c>
      <c r="AH104" s="20">
        <f ca="1">VLOOKUP(C104,INDIRECT(B104),15,FALSE)</f>
        <v>735.5</v>
      </c>
      <c r="AI104" s="15">
        <f ca="1">AG104/AH104</f>
        <v>0.40221652416196702</v>
      </c>
    </row>
    <row r="106" spans="1:35" x14ac:dyDescent="0.25">
      <c r="A106" s="16" t="s">
        <v>278</v>
      </c>
      <c r="B106" s="17" t="s">
        <v>202</v>
      </c>
      <c r="C106" s="17" t="s">
        <v>196</v>
      </c>
      <c r="D106" s="34">
        <v>6.5</v>
      </c>
      <c r="E106" s="34">
        <f>0.5+1</f>
        <v>1.5</v>
      </c>
      <c r="F106" s="34">
        <v>2.4</v>
      </c>
      <c r="G106" s="34">
        <v>2.6</v>
      </c>
      <c r="H106" s="15">
        <f ca="1">X106</f>
        <v>0.31836932154930198</v>
      </c>
      <c r="I106" s="15">
        <f ca="1">AI106</f>
        <v>0.24271049604399303</v>
      </c>
      <c r="J106" s="20">
        <f ca="1">VLOOKUP(C106,INDIRECT(B106),8,FALSE)</f>
        <v>57.1</v>
      </c>
      <c r="K106" s="32">
        <f ca="1">J106*D106</f>
        <v>371.15000000000003</v>
      </c>
      <c r="L106" s="35">
        <f ca="1">K106</f>
        <v>371.15000000000003</v>
      </c>
      <c r="M106" s="16">
        <v>1</v>
      </c>
      <c r="N106" s="16">
        <v>1</v>
      </c>
      <c r="O106" s="20">
        <f>G106*(M106*E106+N106*F106)</f>
        <v>10.14</v>
      </c>
      <c r="P106" s="16">
        <v>300</v>
      </c>
      <c r="Q106" s="16"/>
      <c r="R106" s="20">
        <f>D106*1000/P106</f>
        <v>21.666666666666668</v>
      </c>
      <c r="S106" s="62">
        <v>5</v>
      </c>
      <c r="T106" s="62">
        <v>384</v>
      </c>
      <c r="U106" s="20">
        <f>S106*O106*(D106*1000)^4/(T106*210000*R106)/(10^6)</f>
        <v>51.798688616071423</v>
      </c>
      <c r="V106" s="20">
        <f ca="1">VLOOKUP(C106,INDIRECT(B106),13,FALSE)</f>
        <v>162.69999999999999</v>
      </c>
      <c r="W106" s="20">
        <f ca="1">S106*O106*D106^4/(T106*210000*V106)*1000000</f>
        <v>6.8980019669015435</v>
      </c>
      <c r="X106" s="15">
        <f ca="1">W106/R106</f>
        <v>0.31836932154930198</v>
      </c>
      <c r="Z106" s="16">
        <v>1.2</v>
      </c>
      <c r="AA106" s="16">
        <v>1.5</v>
      </c>
      <c r="AB106" s="20">
        <f>G106*(Z106*E106+AA106*F106)</f>
        <v>14.04</v>
      </c>
      <c r="AC106" s="20">
        <f>AB106*D106^2/8</f>
        <v>74.148749999999993</v>
      </c>
      <c r="AD106" s="16">
        <v>355</v>
      </c>
      <c r="AE106" s="63">
        <v>1.05</v>
      </c>
      <c r="AF106" s="20">
        <f>AD106/AE106</f>
        <v>338.09523809523807</v>
      </c>
      <c r="AG106" s="20">
        <f>AC106*10^6/AF106/1000</f>
        <v>219.31320422535211</v>
      </c>
      <c r="AH106" s="20">
        <f ca="1">VLOOKUP(C106,INDIRECT(B106),15,FALSE)</f>
        <v>903.6</v>
      </c>
      <c r="AI106" s="15">
        <f ca="1">AG106/AH106</f>
        <v>0.24271049604399303</v>
      </c>
    </row>
    <row r="108" spans="1:35" x14ac:dyDescent="0.25">
      <c r="A108" s="16" t="s">
        <v>279</v>
      </c>
      <c r="B108" s="17" t="s">
        <v>202</v>
      </c>
      <c r="C108" s="17" t="s">
        <v>195</v>
      </c>
      <c r="D108" s="34">
        <v>3.5</v>
      </c>
      <c r="E108" s="34">
        <v>7</v>
      </c>
      <c r="F108" s="34">
        <v>5</v>
      </c>
      <c r="G108" s="34">
        <f>2.5+3</f>
        <v>5.5</v>
      </c>
      <c r="H108" s="15">
        <f ca="1">X108</f>
        <v>0.4472108644859813</v>
      </c>
      <c r="I108" s="15">
        <f ca="1">AI108</f>
        <v>0.55541349167787546</v>
      </c>
      <c r="J108" s="20">
        <f ca="1">VLOOKUP(C108,INDIRECT(B108),8,FALSE)</f>
        <v>49.1</v>
      </c>
      <c r="K108" s="32">
        <f ca="1">J108*D108</f>
        <v>171.85</v>
      </c>
      <c r="L108" s="35">
        <f ca="1">K108</f>
        <v>171.85</v>
      </c>
      <c r="M108" s="16">
        <v>1</v>
      </c>
      <c r="N108" s="16">
        <v>1</v>
      </c>
      <c r="O108" s="20">
        <f>G108*(M108*E108+N108*F108)</f>
        <v>66</v>
      </c>
      <c r="P108" s="16">
        <v>300</v>
      </c>
      <c r="Q108" s="16"/>
      <c r="R108" s="20">
        <f>D108*1000/P108</f>
        <v>11.666666666666666</v>
      </c>
      <c r="S108" s="62">
        <v>5</v>
      </c>
      <c r="T108" s="62">
        <v>384</v>
      </c>
      <c r="U108" s="20">
        <f t="shared" ref="U108:U110" si="80">S108*O108*(D108*1000)^4/(T108*210000*R108)/(10^6)</f>
        <v>52.63671875</v>
      </c>
      <c r="V108" s="20">
        <f ca="1">VLOOKUP(C108,INDIRECT(B108),13,FALSE)</f>
        <v>117.7</v>
      </c>
      <c r="W108" s="20">
        <f t="shared" ref="W108:W110" ca="1" si="81">S108*O108*D108^4/(T108*210000*V108)*1000000</f>
        <v>5.2174600856697815</v>
      </c>
      <c r="X108" s="15">
        <f t="shared" ref="X108:X110" ca="1" si="82">W108/R108</f>
        <v>0.4472108644859813</v>
      </c>
      <c r="Z108" s="16">
        <v>1.2</v>
      </c>
      <c r="AA108" s="16">
        <v>1.5</v>
      </c>
      <c r="AB108" s="20">
        <f>G108*(Z108*E108+AA108*F108)</f>
        <v>87.45</v>
      </c>
      <c r="AC108" s="20">
        <f>AB108*D108^2/8</f>
        <v>133.90781250000001</v>
      </c>
      <c r="AD108" s="16">
        <v>355</v>
      </c>
      <c r="AE108" s="63">
        <v>1.05</v>
      </c>
      <c r="AF108" s="20">
        <f t="shared" ref="AF108:AF110" si="83">AD108/AE108</f>
        <v>338.09523809523807</v>
      </c>
      <c r="AG108" s="20">
        <f>AC108*10^6/AF108/1000</f>
        <v>396.06536091549299</v>
      </c>
      <c r="AH108" s="20">
        <f ca="1">VLOOKUP(C108,INDIRECT(B108),15,FALSE)</f>
        <v>713.1</v>
      </c>
      <c r="AI108" s="15">
        <f ca="1">AG108/AH108</f>
        <v>0.55541349167787546</v>
      </c>
    </row>
    <row r="109" spans="1:35" x14ac:dyDescent="0.25">
      <c r="A109" s="16" t="s">
        <v>279</v>
      </c>
      <c r="B109" s="17" t="s">
        <v>130</v>
      </c>
      <c r="C109" s="17" t="s">
        <v>92</v>
      </c>
      <c r="D109" s="34">
        <v>3.5</v>
      </c>
      <c r="E109" s="34">
        <v>7</v>
      </c>
      <c r="F109" s="34">
        <v>5</v>
      </c>
      <c r="G109" s="34">
        <f>2.5+3</f>
        <v>5.5</v>
      </c>
      <c r="H109" s="15">
        <f ca="1">X109</f>
        <v>0.50370065789473684</v>
      </c>
      <c r="I109" s="15">
        <f ca="1">AI109</f>
        <v>0.47353582127629484</v>
      </c>
      <c r="J109" s="20">
        <f ca="1">VLOOKUP(C109,INDIRECT(B109),8,FALSE)</f>
        <v>68.2</v>
      </c>
      <c r="K109" s="32">
        <f ca="1">J109*D109</f>
        <v>238.70000000000002</v>
      </c>
      <c r="L109" s="35">
        <f ca="1">K109</f>
        <v>238.70000000000002</v>
      </c>
      <c r="M109" s="16">
        <v>1</v>
      </c>
      <c r="N109" s="16">
        <v>1</v>
      </c>
      <c r="O109" s="20">
        <f>G109*(M109*E109+N109*F109)</f>
        <v>66</v>
      </c>
      <c r="P109" s="16">
        <v>300</v>
      </c>
      <c r="Q109" s="16"/>
      <c r="R109" s="20">
        <f>D109*1000/P109</f>
        <v>11.666666666666666</v>
      </c>
      <c r="S109" s="62">
        <v>5</v>
      </c>
      <c r="T109" s="62">
        <v>384</v>
      </c>
      <c r="U109" s="20">
        <f t="shared" si="80"/>
        <v>52.63671875</v>
      </c>
      <c r="V109" s="20">
        <f ca="1">VLOOKUP(C109,INDIRECT(B109),13,FALSE)</f>
        <v>104.5</v>
      </c>
      <c r="W109" s="20">
        <f t="shared" ca="1" si="81"/>
        <v>5.8765076754385968</v>
      </c>
      <c r="X109" s="15">
        <f t="shared" ca="1" si="82"/>
        <v>0.50370065789473684</v>
      </c>
      <c r="Z109" s="16">
        <v>1.2</v>
      </c>
      <c r="AA109" s="16">
        <v>1.5</v>
      </c>
      <c r="AB109" s="20">
        <f>G109*(Z109*E109+AA109*F109)</f>
        <v>87.45</v>
      </c>
      <c r="AC109" s="20">
        <f>AB109*D109^2/8</f>
        <v>133.90781250000001</v>
      </c>
      <c r="AD109" s="16">
        <v>355</v>
      </c>
      <c r="AE109" s="63">
        <v>1.05</v>
      </c>
      <c r="AF109" s="20">
        <f t="shared" si="83"/>
        <v>338.09523809523807</v>
      </c>
      <c r="AG109" s="20">
        <f>AC109*10^6/AF109/1000</f>
        <v>396.06536091549299</v>
      </c>
      <c r="AH109" s="20">
        <f ca="1">VLOOKUP(C109,INDIRECT(B109),15,FALSE)</f>
        <v>836.4</v>
      </c>
      <c r="AI109" s="15">
        <f ca="1">AG109/AH109</f>
        <v>0.47353582127629484</v>
      </c>
    </row>
    <row r="110" spans="1:35" x14ac:dyDescent="0.25">
      <c r="A110" s="16" t="s">
        <v>279</v>
      </c>
      <c r="B110" s="17" t="s">
        <v>170</v>
      </c>
      <c r="C110" s="17" t="s">
        <v>152</v>
      </c>
      <c r="D110" s="34">
        <v>3.5</v>
      </c>
      <c r="E110" s="34">
        <v>7</v>
      </c>
      <c r="F110" s="34">
        <v>5</v>
      </c>
      <c r="G110" s="34">
        <f>2.5+3</f>
        <v>5.5</v>
      </c>
      <c r="H110" s="15">
        <f ca="1">X110</f>
        <v>0.65055887714744787</v>
      </c>
      <c r="I110" s="15">
        <f ca="1">AI110</f>
        <v>0.53849811137388581</v>
      </c>
      <c r="J110" s="20">
        <f ca="1">VLOOKUP(C110,INDIRECT(B110),8,FALSE)</f>
        <v>71.5</v>
      </c>
      <c r="K110" s="32">
        <f ca="1">J110*D110</f>
        <v>250.25</v>
      </c>
      <c r="L110" s="35">
        <f ca="1">K110</f>
        <v>250.25</v>
      </c>
      <c r="M110" s="16">
        <v>1</v>
      </c>
      <c r="N110" s="16">
        <v>1</v>
      </c>
      <c r="O110" s="20">
        <f>G110*(M110*E110+N110*F110)</f>
        <v>66</v>
      </c>
      <c r="P110" s="16">
        <v>300</v>
      </c>
      <c r="Q110" s="16"/>
      <c r="R110" s="20">
        <f>D110*1000/P110</f>
        <v>11.666666666666666</v>
      </c>
      <c r="S110" s="62">
        <v>5</v>
      </c>
      <c r="T110" s="62">
        <v>384</v>
      </c>
      <c r="U110" s="20">
        <f t="shared" si="80"/>
        <v>52.63671875</v>
      </c>
      <c r="V110" s="20">
        <f ca="1">VLOOKUP(C110,INDIRECT(B110),13,FALSE)</f>
        <v>80.91</v>
      </c>
      <c r="W110" s="20">
        <f t="shared" ca="1" si="81"/>
        <v>7.5898535667202243</v>
      </c>
      <c r="X110" s="15">
        <f t="shared" ca="1" si="82"/>
        <v>0.65055887714744787</v>
      </c>
      <c r="Z110" s="16">
        <v>1.2</v>
      </c>
      <c r="AA110" s="16">
        <v>1.5</v>
      </c>
      <c r="AB110" s="20">
        <f>G110*(Z110*E110+AA110*F110)</f>
        <v>87.45</v>
      </c>
      <c r="AC110" s="20">
        <f>AB110*D110^2/8</f>
        <v>133.90781250000001</v>
      </c>
      <c r="AD110" s="16">
        <v>355</v>
      </c>
      <c r="AE110" s="63">
        <v>1.05</v>
      </c>
      <c r="AF110" s="20">
        <f t="shared" si="83"/>
        <v>338.09523809523807</v>
      </c>
      <c r="AG110" s="20">
        <f>AC110*10^6/AF110/1000</f>
        <v>396.06536091549299</v>
      </c>
      <c r="AH110" s="20">
        <f ca="1">VLOOKUP(C110,INDIRECT(B110),15,FALSE)</f>
        <v>735.5</v>
      </c>
      <c r="AI110" s="15">
        <f ca="1">AG110/AH110</f>
        <v>0.53849811137388581</v>
      </c>
    </row>
    <row r="112" spans="1:35" x14ac:dyDescent="0.25">
      <c r="A112" s="16" t="s">
        <v>280</v>
      </c>
      <c r="B112" s="17" t="s">
        <v>202</v>
      </c>
      <c r="C112" s="17" t="s">
        <v>192</v>
      </c>
      <c r="D112" s="34">
        <v>3.25</v>
      </c>
      <c r="E112" s="34">
        <f>0.2*25+1.5</f>
        <v>6.5</v>
      </c>
      <c r="F112" s="34">
        <v>3</v>
      </c>
      <c r="G112" s="34">
        <f>(5+3.2)/2</f>
        <v>4.0999999999999996</v>
      </c>
      <c r="H112" s="15">
        <f ca="1">X112</f>
        <v>0.63903618913701932</v>
      </c>
      <c r="I112" s="15">
        <f ca="1">AI112</f>
        <v>0.60726702665111854</v>
      </c>
      <c r="J112" s="20">
        <f ca="1">VLOOKUP(C112,INDIRECT(B112),8,FALSE)</f>
        <v>30.7</v>
      </c>
      <c r="K112" s="32">
        <f ca="1">J112*D112</f>
        <v>99.774999999999991</v>
      </c>
      <c r="L112" s="35">
        <f ca="1">K112</f>
        <v>99.774999999999991</v>
      </c>
      <c r="M112" s="16">
        <v>1</v>
      </c>
      <c r="N112" s="16">
        <v>1</v>
      </c>
      <c r="O112" s="20">
        <f>G112*(M112*E112+N112*F112)</f>
        <v>38.949999999999996</v>
      </c>
      <c r="P112" s="16">
        <v>300</v>
      </c>
      <c r="Q112" s="16"/>
      <c r="R112" s="20">
        <f>D112*1000/P112</f>
        <v>10.833333333333334</v>
      </c>
      <c r="S112" s="62">
        <v>5</v>
      </c>
      <c r="T112" s="62">
        <v>384</v>
      </c>
      <c r="U112" s="20">
        <f t="shared" ref="U112:U114" si="84">S112*O112*(D112*1000)^4/(T112*210000*R112)/(10^6)</f>
        <v>24.871288481212794</v>
      </c>
      <c r="V112" s="20">
        <f ca="1">VLOOKUP(C112,INDIRECT(B112),13,FALSE)</f>
        <v>38.92</v>
      </c>
      <c r="W112" s="20">
        <f t="shared" ref="W112:W114" ca="1" si="85">S112*O112*D112^4/(T112*210000*V112)*1000000</f>
        <v>6.9228920489843757</v>
      </c>
      <c r="X112" s="15">
        <f t="shared" ref="X112:X114" ca="1" si="86">W112/R112</f>
        <v>0.63903618913701932</v>
      </c>
      <c r="Z112" s="16">
        <v>1.2</v>
      </c>
      <c r="AA112" s="16">
        <v>1.5</v>
      </c>
      <c r="AB112" s="20">
        <f>G112*(Z112*E112+AA112*F112)</f>
        <v>50.43</v>
      </c>
      <c r="AC112" s="20">
        <f>AB112*D112^2/8</f>
        <v>66.583359375000001</v>
      </c>
      <c r="AD112" s="16">
        <v>355</v>
      </c>
      <c r="AE112" s="63">
        <v>1.05</v>
      </c>
      <c r="AF112" s="20">
        <f t="shared" ref="AF112:AF114" si="87">AD112/AE112</f>
        <v>338.09523809523807</v>
      </c>
      <c r="AG112" s="20">
        <f>AC112*10^6/AF112/1000</f>
        <v>196.93669674295774</v>
      </c>
      <c r="AH112" s="20">
        <f ca="1">VLOOKUP(C112,INDIRECT(B112),15,FALSE)</f>
        <v>324.3</v>
      </c>
      <c r="AI112" s="15">
        <f ca="1">AG112/AH112</f>
        <v>0.60726702665111854</v>
      </c>
    </row>
    <row r="113" spans="1:35" x14ac:dyDescent="0.25">
      <c r="A113" s="16" t="s">
        <v>280</v>
      </c>
      <c r="B113" s="17" t="s">
        <v>130</v>
      </c>
      <c r="C113" s="17" t="s">
        <v>89</v>
      </c>
      <c r="D113" s="34">
        <f>D112</f>
        <v>3.25</v>
      </c>
      <c r="E113" s="34">
        <f t="shared" ref="E113:E114" si="88">E112</f>
        <v>6.5</v>
      </c>
      <c r="F113" s="34">
        <f t="shared" ref="F113:F114" si="89">F112</f>
        <v>3</v>
      </c>
      <c r="G113" s="34">
        <f t="shared" ref="G113:G114" si="90">G112</f>
        <v>4.0999999999999996</v>
      </c>
      <c r="H113" s="15">
        <f ca="1">X113</f>
        <v>0.67365353416069318</v>
      </c>
      <c r="I113" s="15">
        <f ca="1">AI113</f>
        <v>0.50678511771219181</v>
      </c>
      <c r="J113" s="20">
        <f ca="1">VLOOKUP(C113,INDIRECT(B113),8,FALSE)</f>
        <v>42.3</v>
      </c>
      <c r="K113" s="32">
        <f ca="1">J113*D113</f>
        <v>137.47499999999999</v>
      </c>
      <c r="L113" s="35">
        <f ca="1">K113</f>
        <v>137.47499999999999</v>
      </c>
      <c r="M113" s="16">
        <v>1</v>
      </c>
      <c r="N113" s="16">
        <v>1</v>
      </c>
      <c r="O113" s="20">
        <f>G113*(M113*E113+N113*F113)</f>
        <v>38.949999999999996</v>
      </c>
      <c r="P113" s="16">
        <v>300</v>
      </c>
      <c r="Q113" s="16"/>
      <c r="R113" s="20">
        <f>D113*1000/P113</f>
        <v>10.833333333333334</v>
      </c>
      <c r="S113" s="62">
        <v>5</v>
      </c>
      <c r="T113" s="62">
        <v>384</v>
      </c>
      <c r="U113" s="20">
        <f t="shared" si="84"/>
        <v>24.871288481212794</v>
      </c>
      <c r="V113" s="20">
        <f ca="1">VLOOKUP(C113,INDIRECT(B113),13,FALSE)</f>
        <v>36.92</v>
      </c>
      <c r="W113" s="20">
        <f t="shared" ca="1" si="85"/>
        <v>7.2979132867408429</v>
      </c>
      <c r="X113" s="15">
        <f t="shared" ca="1" si="86"/>
        <v>0.67365353416069318</v>
      </c>
      <c r="Z113" s="16">
        <v>1.2</v>
      </c>
      <c r="AA113" s="16">
        <v>1.5</v>
      </c>
      <c r="AB113" s="20">
        <f>G113*(Z113*E113+AA113*F113)</f>
        <v>50.43</v>
      </c>
      <c r="AC113" s="20">
        <f>AB113*D113^2/8</f>
        <v>66.583359375000001</v>
      </c>
      <c r="AD113" s="16">
        <v>355</v>
      </c>
      <c r="AE113" s="63">
        <v>1.05</v>
      </c>
      <c r="AF113" s="20">
        <f t="shared" si="87"/>
        <v>338.09523809523807</v>
      </c>
      <c r="AG113" s="20">
        <f>AC113*10^6/AF113/1000</f>
        <v>196.93669674295774</v>
      </c>
      <c r="AH113" s="20">
        <f ca="1">VLOOKUP(C113,INDIRECT(B113),15,FALSE)</f>
        <v>388.6</v>
      </c>
      <c r="AI113" s="15">
        <f ca="1">AG113/AH113</f>
        <v>0.50678511771219181</v>
      </c>
    </row>
    <row r="114" spans="1:35" x14ac:dyDescent="0.25">
      <c r="A114" s="16" t="s">
        <v>280</v>
      </c>
      <c r="B114" s="17" t="s">
        <v>170</v>
      </c>
      <c r="C114" s="17" t="s">
        <v>149</v>
      </c>
      <c r="D114" s="34">
        <f t="shared" ref="D114" si="91">D113</f>
        <v>3.25</v>
      </c>
      <c r="E114" s="34">
        <f t="shared" si="88"/>
        <v>6.5</v>
      </c>
      <c r="F114" s="34">
        <f t="shared" si="89"/>
        <v>3</v>
      </c>
      <c r="G114" s="34">
        <f t="shared" si="90"/>
        <v>4.0999999999999996</v>
      </c>
      <c r="H114" s="15">
        <f ca="1">X114</f>
        <v>0.99804528415781646</v>
      </c>
      <c r="I114" s="15">
        <f ca="1">AI114</f>
        <v>0.63222053529039401</v>
      </c>
      <c r="J114" s="20">
        <f ca="1">VLOOKUP(C114,INDIRECT(B114),8,FALSE)</f>
        <v>42.6</v>
      </c>
      <c r="K114" s="32">
        <f ca="1">J114*D114</f>
        <v>138.45000000000002</v>
      </c>
      <c r="L114" s="35">
        <f ca="1">K114</f>
        <v>138.45000000000002</v>
      </c>
      <c r="M114" s="16">
        <v>1</v>
      </c>
      <c r="N114" s="16">
        <v>1</v>
      </c>
      <c r="O114" s="20">
        <f>G114*(M114*E114+N114*F114)</f>
        <v>38.949999999999996</v>
      </c>
      <c r="P114" s="16">
        <v>300</v>
      </c>
      <c r="Q114" s="16"/>
      <c r="R114" s="20">
        <f>D114*1000/P114</f>
        <v>10.833333333333334</v>
      </c>
      <c r="S114" s="62">
        <v>5</v>
      </c>
      <c r="T114" s="62">
        <v>384</v>
      </c>
      <c r="U114" s="20">
        <f t="shared" si="84"/>
        <v>24.871288481212794</v>
      </c>
      <c r="V114" s="20">
        <f ca="1">VLOOKUP(C114,INDIRECT(B114),13,FALSE)</f>
        <v>24.92</v>
      </c>
      <c r="W114" s="20">
        <f t="shared" ca="1" si="85"/>
        <v>10.812157245043013</v>
      </c>
      <c r="X114" s="15">
        <f t="shared" ca="1" si="86"/>
        <v>0.99804528415781646</v>
      </c>
      <c r="Z114" s="16">
        <v>1.2</v>
      </c>
      <c r="AA114" s="16">
        <v>1.5</v>
      </c>
      <c r="AB114" s="20">
        <f>G114*(Z114*E114+AA114*F114)</f>
        <v>50.43</v>
      </c>
      <c r="AC114" s="20">
        <f>AB114*D114^2/8</f>
        <v>66.583359375000001</v>
      </c>
      <c r="AD114" s="16">
        <v>355</v>
      </c>
      <c r="AE114" s="63">
        <v>1.05</v>
      </c>
      <c r="AF114" s="20">
        <f t="shared" si="87"/>
        <v>338.09523809523807</v>
      </c>
      <c r="AG114" s="20">
        <f>AC114*10^6/AF114/1000</f>
        <v>196.93669674295774</v>
      </c>
      <c r="AH114" s="20">
        <f ca="1">VLOOKUP(C114,INDIRECT(B114),15,FALSE)</f>
        <v>311.5</v>
      </c>
      <c r="AI114" s="15">
        <f ca="1">AG114/AH114</f>
        <v>0.63222053529039401</v>
      </c>
    </row>
    <row r="116" spans="1:35" x14ac:dyDescent="0.25">
      <c r="A116" s="16" t="s">
        <v>281</v>
      </c>
      <c r="B116" s="17" t="s">
        <v>202</v>
      </c>
      <c r="C116" s="17" t="s">
        <v>190</v>
      </c>
      <c r="D116" s="34">
        <v>3.8</v>
      </c>
      <c r="E116" s="34">
        <f>2</f>
        <v>2</v>
      </c>
      <c r="F116" s="34">
        <v>2.8</v>
      </c>
      <c r="G116" s="34">
        <v>4</v>
      </c>
      <c r="H116" s="15">
        <f ca="1">X116</f>
        <v>1.6810038477562925</v>
      </c>
      <c r="I116" s="15">
        <f ca="1">AI116</f>
        <v>0.72538618225047657</v>
      </c>
      <c r="J116" s="20">
        <f ca="1">VLOOKUP(C116,INDIRECT(B116),8,FALSE)</f>
        <v>22.4</v>
      </c>
      <c r="K116" s="32">
        <f ca="1">J116*D116</f>
        <v>85.11999999999999</v>
      </c>
      <c r="L116" s="35">
        <f ca="1">K116</f>
        <v>85.11999999999999</v>
      </c>
      <c r="M116" s="16">
        <v>1</v>
      </c>
      <c r="N116" s="16">
        <v>1</v>
      </c>
      <c r="O116" s="20">
        <f>G116*(M116*E116+N116*F116)</f>
        <v>19.2</v>
      </c>
      <c r="P116" s="16">
        <v>500</v>
      </c>
      <c r="Q116" s="16"/>
      <c r="R116" s="20">
        <f>D116*1000/P116</f>
        <v>7.6</v>
      </c>
      <c r="S116" s="62">
        <v>5</v>
      </c>
      <c r="T116" s="62">
        <v>384</v>
      </c>
      <c r="U116" s="20">
        <f t="shared" ref="U116:U118" si="92">S116*O116*(D116*1000)^4/(T116*210000*R116)/(10^6)</f>
        <v>32.661904761904758</v>
      </c>
      <c r="V116" s="20">
        <f ca="1">VLOOKUP(C116,INDIRECT(B116),13,FALSE)</f>
        <v>19.43</v>
      </c>
      <c r="W116" s="20">
        <f t="shared" ref="W116:W118" ca="1" si="93">S116*O116*D116^4/(T116*210000*V116)*1000000</f>
        <v>12.775629242947822</v>
      </c>
      <c r="X116" s="15">
        <f t="shared" ref="X116:X118" ca="1" si="94">W116/R116</f>
        <v>1.6810038477562925</v>
      </c>
      <c r="Z116" s="16">
        <v>1.2</v>
      </c>
      <c r="AA116" s="16">
        <v>1.5</v>
      </c>
      <c r="AB116" s="20">
        <f>G116*(Z116*E116+AA116*F116)</f>
        <v>26.4</v>
      </c>
      <c r="AC116" s="20">
        <f>AB116*D116^2/8</f>
        <v>47.651999999999994</v>
      </c>
      <c r="AD116" s="16">
        <v>355</v>
      </c>
      <c r="AE116" s="63">
        <v>1.05</v>
      </c>
      <c r="AF116" s="20">
        <f t="shared" ref="AF116:AF118" si="95">AD116/AE116</f>
        <v>338.09523809523807</v>
      </c>
      <c r="AG116" s="20">
        <f>AC116*10^6/AF116/1000</f>
        <v>140.9425352112676</v>
      </c>
      <c r="AH116" s="20">
        <f ca="1">VLOOKUP(C116,INDIRECT(B116),15,FALSE)</f>
        <v>194.3</v>
      </c>
      <c r="AI116" s="15">
        <f ca="1">AG116/AH116</f>
        <v>0.72538618225047657</v>
      </c>
    </row>
    <row r="117" spans="1:35" x14ac:dyDescent="0.25">
      <c r="A117" s="16" t="s">
        <v>281</v>
      </c>
      <c r="B117" s="17" t="s">
        <v>130</v>
      </c>
      <c r="C117" s="17" t="s">
        <v>87</v>
      </c>
      <c r="D117" s="34">
        <f>D116</f>
        <v>3.8</v>
      </c>
      <c r="E117" s="34">
        <f t="shared" ref="E117:E118" si="96">E116</f>
        <v>2</v>
      </c>
      <c r="F117" s="34">
        <f t="shared" ref="F117:F118" si="97">F116</f>
        <v>2.8</v>
      </c>
      <c r="G117" s="34">
        <f t="shared" ref="G117:G118" si="98">G116</f>
        <v>4</v>
      </c>
      <c r="H117" s="15">
        <f ca="1">X117</f>
        <v>1.9522955625764951</v>
      </c>
      <c r="I117" s="15">
        <f ca="1">AI117</f>
        <v>0.64035681604392369</v>
      </c>
      <c r="J117" s="20">
        <f ca="1">VLOOKUP(C117,INDIRECT(B117),8,FALSE)</f>
        <v>30.4</v>
      </c>
      <c r="K117" s="32">
        <f ca="1">J117*D117</f>
        <v>115.52</v>
      </c>
      <c r="L117" s="35">
        <f ca="1">K117</f>
        <v>115.52</v>
      </c>
      <c r="M117" s="16">
        <v>1</v>
      </c>
      <c r="N117" s="16">
        <v>1</v>
      </c>
      <c r="O117" s="20">
        <f>G117*(M117*E117+N117*F117)</f>
        <v>19.2</v>
      </c>
      <c r="P117" s="16">
        <v>500</v>
      </c>
      <c r="Q117" s="16"/>
      <c r="R117" s="20">
        <f>D117*1000/P117</f>
        <v>7.6</v>
      </c>
      <c r="S117" s="62">
        <v>5</v>
      </c>
      <c r="T117" s="62">
        <v>384</v>
      </c>
      <c r="U117" s="20">
        <f t="shared" si="92"/>
        <v>32.661904761904758</v>
      </c>
      <c r="V117" s="20">
        <f ca="1">VLOOKUP(C117,INDIRECT(B117),13,FALSE)</f>
        <v>16.73</v>
      </c>
      <c r="W117" s="20">
        <f t="shared" ca="1" si="93"/>
        <v>14.837446275581362</v>
      </c>
      <c r="X117" s="15">
        <f t="shared" ca="1" si="94"/>
        <v>1.9522955625764951</v>
      </c>
      <c r="Z117" s="16">
        <v>1.2</v>
      </c>
      <c r="AA117" s="16">
        <v>1.5</v>
      </c>
      <c r="AB117" s="20">
        <f>G117*(Z117*E117+AA117*F117)</f>
        <v>26.4</v>
      </c>
      <c r="AC117" s="20">
        <f>AB117*D117^2/8</f>
        <v>47.651999999999994</v>
      </c>
      <c r="AD117" s="16">
        <v>355</v>
      </c>
      <c r="AE117" s="63">
        <v>1.05</v>
      </c>
      <c r="AF117" s="20">
        <f t="shared" si="95"/>
        <v>338.09523809523807</v>
      </c>
      <c r="AG117" s="20">
        <f>AC117*10^6/AF117/1000</f>
        <v>140.9425352112676</v>
      </c>
      <c r="AH117" s="20">
        <f ca="1">VLOOKUP(C117,INDIRECT(B117),15,FALSE)</f>
        <v>220.1</v>
      </c>
      <c r="AI117" s="15">
        <f ca="1">AG117/AH117</f>
        <v>0.64035681604392369</v>
      </c>
    </row>
    <row r="118" spans="1:35" x14ac:dyDescent="0.25">
      <c r="A118" s="16" t="s">
        <v>281</v>
      </c>
      <c r="B118" s="17" t="s">
        <v>170</v>
      </c>
      <c r="C118" s="17" t="s">
        <v>149</v>
      </c>
      <c r="D118" s="34">
        <f t="shared" ref="D118" si="99">D117</f>
        <v>3.8</v>
      </c>
      <c r="E118" s="34">
        <f t="shared" si="96"/>
        <v>2</v>
      </c>
      <c r="F118" s="34">
        <f t="shared" si="97"/>
        <v>2.8</v>
      </c>
      <c r="G118" s="34">
        <f t="shared" si="98"/>
        <v>4</v>
      </c>
      <c r="H118" s="15">
        <f ca="1">X118</f>
        <v>1.3106703355499503</v>
      </c>
      <c r="I118" s="15">
        <f ca="1">AI118</f>
        <v>0.45246399746795374</v>
      </c>
      <c r="J118" s="20">
        <f ca="1">VLOOKUP(C118,INDIRECT(B118),8,FALSE)</f>
        <v>42.6</v>
      </c>
      <c r="K118" s="32">
        <f ca="1">J118*D118</f>
        <v>161.88</v>
      </c>
      <c r="L118" s="35">
        <f ca="1">K118</f>
        <v>161.88</v>
      </c>
      <c r="M118" s="16">
        <v>1</v>
      </c>
      <c r="N118" s="16">
        <v>1</v>
      </c>
      <c r="O118" s="20">
        <f>G118*(M118*E118+N118*F118)</f>
        <v>19.2</v>
      </c>
      <c r="P118" s="16">
        <v>500</v>
      </c>
      <c r="Q118" s="16"/>
      <c r="R118" s="20">
        <f>D118*1000/P118</f>
        <v>7.6</v>
      </c>
      <c r="S118" s="62">
        <v>5</v>
      </c>
      <c r="T118" s="62">
        <v>384</v>
      </c>
      <c r="U118" s="20">
        <f t="shared" si="92"/>
        <v>32.661904761904758</v>
      </c>
      <c r="V118" s="20">
        <f ca="1">VLOOKUP(C118,INDIRECT(B118),13,FALSE)</f>
        <v>24.92</v>
      </c>
      <c r="W118" s="20">
        <f t="shared" ca="1" si="93"/>
        <v>9.961094550179622</v>
      </c>
      <c r="X118" s="15">
        <f t="shared" ca="1" si="94"/>
        <v>1.3106703355499503</v>
      </c>
      <c r="Z118" s="16">
        <v>1.2</v>
      </c>
      <c r="AA118" s="16">
        <v>1.5</v>
      </c>
      <c r="AB118" s="20">
        <f>G118*(Z118*E118+AA118*F118)</f>
        <v>26.4</v>
      </c>
      <c r="AC118" s="20">
        <f>AB118*D118^2/8</f>
        <v>47.651999999999994</v>
      </c>
      <c r="AD118" s="16">
        <v>355</v>
      </c>
      <c r="AE118" s="63">
        <v>1.05</v>
      </c>
      <c r="AF118" s="20">
        <f t="shared" si="95"/>
        <v>338.09523809523807</v>
      </c>
      <c r="AG118" s="20">
        <f>AC118*10^6/AF118/1000</f>
        <v>140.9425352112676</v>
      </c>
      <c r="AH118" s="20">
        <f ca="1">VLOOKUP(C118,INDIRECT(B118),15,FALSE)</f>
        <v>311.5</v>
      </c>
      <c r="AI118" s="15">
        <f ca="1">AG118/AH118</f>
        <v>0.45246399746795374</v>
      </c>
    </row>
    <row r="120" spans="1:35" x14ac:dyDescent="0.25">
      <c r="A120" s="16" t="s">
        <v>282</v>
      </c>
      <c r="B120" s="17" t="s">
        <v>202</v>
      </c>
      <c r="C120" s="17" t="s">
        <v>193</v>
      </c>
      <c r="D120" s="34">
        <v>2.2000000000000002</v>
      </c>
      <c r="E120" s="34">
        <f>48/1.2</f>
        <v>40</v>
      </c>
      <c r="F120" s="34">
        <v>0</v>
      </c>
      <c r="G120" s="34">
        <v>4</v>
      </c>
      <c r="H120" s="15">
        <f ca="1">X120</f>
        <v>0.91221865833264815</v>
      </c>
      <c r="I120" s="15">
        <f ca="1">AI120</f>
        <v>0.80105346464424254</v>
      </c>
      <c r="J120" s="20">
        <f ca="1">VLOOKUP(C120,INDIRECT(B120),8,FALSE)</f>
        <v>36.1</v>
      </c>
      <c r="K120" s="32">
        <f ca="1">J120*D120</f>
        <v>79.420000000000016</v>
      </c>
      <c r="L120" s="35">
        <f ca="1">K120</f>
        <v>79.420000000000016</v>
      </c>
      <c r="M120" s="16">
        <v>1</v>
      </c>
      <c r="N120" s="16">
        <v>1</v>
      </c>
      <c r="O120" s="20">
        <f>G120*(M120*E120+N120*F120)</f>
        <v>160</v>
      </c>
      <c r="P120" s="16">
        <v>500</v>
      </c>
      <c r="Q120" s="16"/>
      <c r="R120" s="20">
        <f>D120*1000/P120</f>
        <v>4.4000000000000004</v>
      </c>
      <c r="S120" s="62">
        <v>5</v>
      </c>
      <c r="T120" s="62">
        <v>384</v>
      </c>
      <c r="U120" s="20">
        <f t="shared" ref="U120:U122" si="100">S120*O120*(D120*1000)^4/(T120*210000*R120)/(10^6)</f>
        <v>52.817460317460323</v>
      </c>
      <c r="V120" s="20">
        <f ca="1">VLOOKUP(C120,INDIRECT(B120),13,FALSE)</f>
        <v>57.9</v>
      </c>
      <c r="W120" s="20">
        <f t="shared" ref="W120:W122" ca="1" si="101">S120*O120*D120^4/(T120*210000*V120)*1000000</f>
        <v>4.013762096663652</v>
      </c>
      <c r="X120" s="15">
        <f t="shared" ref="X120:X122" ca="1" si="102">W120/R120</f>
        <v>0.91221865833264815</v>
      </c>
      <c r="Z120" s="16">
        <v>1.2</v>
      </c>
      <c r="AA120" s="16">
        <v>1.5</v>
      </c>
      <c r="AB120" s="20">
        <f>G120*(Z120*E120+AA120*F120)</f>
        <v>192</v>
      </c>
      <c r="AC120" s="20">
        <f>AB120*D120^2/8</f>
        <v>116.16000000000003</v>
      </c>
      <c r="AD120" s="16">
        <v>355</v>
      </c>
      <c r="AE120" s="63">
        <v>1.05</v>
      </c>
      <c r="AF120" s="20">
        <f t="shared" ref="AF120:AF122" si="103">AD120/AE120</f>
        <v>338.09523809523807</v>
      </c>
      <c r="AG120" s="20">
        <f>AC120*10^6/AF120/1000</f>
        <v>343.5718309859156</v>
      </c>
      <c r="AH120" s="20">
        <f ca="1">VLOOKUP(C120,INDIRECT(B120),15,FALSE)</f>
        <v>428.9</v>
      </c>
      <c r="AI120" s="15">
        <f ca="1">AG120/AH120</f>
        <v>0.80105346464424254</v>
      </c>
    </row>
    <row r="121" spans="1:35" x14ac:dyDescent="0.25">
      <c r="A121" s="16" t="s">
        <v>282</v>
      </c>
      <c r="B121" s="17" t="s">
        <v>130</v>
      </c>
      <c r="C121" s="17" t="s">
        <v>90</v>
      </c>
      <c r="D121" s="34">
        <f>D120</f>
        <v>2.2000000000000002</v>
      </c>
      <c r="E121" s="34">
        <f t="shared" ref="E121:G122" si="104">E120</f>
        <v>40</v>
      </c>
      <c r="F121" s="34">
        <f t="shared" si="104"/>
        <v>0</v>
      </c>
      <c r="G121" s="34">
        <f t="shared" si="104"/>
        <v>4</v>
      </c>
      <c r="H121" s="15">
        <f ca="1">X121</f>
        <v>0.97629316668133714</v>
      </c>
      <c r="I121" s="15">
        <f ca="1">AI121</f>
        <v>0.66687078995713422</v>
      </c>
      <c r="J121" s="20">
        <f ca="1">VLOOKUP(C121,INDIRECT(B121),8,FALSE)</f>
        <v>50.5</v>
      </c>
      <c r="K121" s="32">
        <f ca="1">J121*D121</f>
        <v>111.10000000000001</v>
      </c>
      <c r="L121" s="35">
        <f ca="1">K121</f>
        <v>111.10000000000001</v>
      </c>
      <c r="M121" s="16">
        <v>1</v>
      </c>
      <c r="N121" s="16">
        <v>1</v>
      </c>
      <c r="O121" s="20">
        <f>G121*(M121*E121+N121*F121)</f>
        <v>160</v>
      </c>
      <c r="P121" s="16">
        <v>500</v>
      </c>
      <c r="Q121" s="16"/>
      <c r="R121" s="20">
        <f>D121*1000/P121</f>
        <v>4.4000000000000004</v>
      </c>
      <c r="S121" s="62">
        <v>5</v>
      </c>
      <c r="T121" s="62">
        <v>384</v>
      </c>
      <c r="U121" s="20">
        <f t="shared" si="100"/>
        <v>52.817460317460323</v>
      </c>
      <c r="V121" s="20">
        <f ca="1">VLOOKUP(C121,INDIRECT(B121),13,FALSE)</f>
        <v>54.1</v>
      </c>
      <c r="W121" s="20">
        <f t="shared" ca="1" si="101"/>
        <v>4.2956899333978837</v>
      </c>
      <c r="X121" s="15">
        <f t="shared" ca="1" si="102"/>
        <v>0.97629316668133714</v>
      </c>
      <c r="Z121" s="16">
        <v>1.2</v>
      </c>
      <c r="AA121" s="16">
        <v>1.5</v>
      </c>
      <c r="AB121" s="20">
        <f>G121*(Z121*E121+AA121*F121)</f>
        <v>192</v>
      </c>
      <c r="AC121" s="20">
        <f>AB121*D121^2/8</f>
        <v>116.16000000000003</v>
      </c>
      <c r="AD121" s="16">
        <v>355</v>
      </c>
      <c r="AE121" s="63">
        <v>1.05</v>
      </c>
      <c r="AF121" s="20">
        <f t="shared" si="103"/>
        <v>338.09523809523807</v>
      </c>
      <c r="AG121" s="20">
        <f>AC121*10^6/AF121/1000</f>
        <v>343.5718309859156</v>
      </c>
      <c r="AH121" s="20">
        <f ca="1">VLOOKUP(C121,INDIRECT(B121),15,FALSE)</f>
        <v>515.20000000000005</v>
      </c>
      <c r="AI121" s="15">
        <f ca="1">AG121/AH121</f>
        <v>0.66687078995713422</v>
      </c>
    </row>
    <row r="122" spans="1:35" x14ac:dyDescent="0.25">
      <c r="A122" s="16" t="s">
        <v>282</v>
      </c>
      <c r="B122" s="17" t="s">
        <v>170</v>
      </c>
      <c r="C122" s="17" t="s">
        <v>151</v>
      </c>
      <c r="D122" s="34">
        <f t="shared" ref="D122" si="105">D121</f>
        <v>2.2000000000000002</v>
      </c>
      <c r="E122" s="34">
        <f t="shared" si="104"/>
        <v>40</v>
      </c>
      <c r="F122" s="34">
        <f t="shared" si="104"/>
        <v>0</v>
      </c>
      <c r="G122" s="34">
        <f t="shared" si="104"/>
        <v>4</v>
      </c>
      <c r="H122" s="15">
        <f ca="1">X122</f>
        <v>0.92727282860709859</v>
      </c>
      <c r="I122" s="15">
        <f ca="1">AI122</f>
        <v>0.60318088305111583</v>
      </c>
      <c r="J122" s="20">
        <f ca="1">VLOOKUP(C122,INDIRECT(B122),8,FALSE)</f>
        <v>61.3</v>
      </c>
      <c r="K122" s="32">
        <f ca="1">J122*D122</f>
        <v>134.86000000000001</v>
      </c>
      <c r="L122" s="35">
        <f ca="1">K122</f>
        <v>134.86000000000001</v>
      </c>
      <c r="M122" s="16">
        <v>1</v>
      </c>
      <c r="N122" s="16">
        <v>1</v>
      </c>
      <c r="O122" s="20">
        <f>G122*(M122*E122+N122*F122)</f>
        <v>160</v>
      </c>
      <c r="P122" s="16">
        <v>500</v>
      </c>
      <c r="Q122" s="16"/>
      <c r="R122" s="20">
        <f>D122*1000/P122</f>
        <v>4.4000000000000004</v>
      </c>
      <c r="S122" s="62">
        <v>5</v>
      </c>
      <c r="T122" s="62">
        <v>384</v>
      </c>
      <c r="U122" s="20">
        <f t="shared" si="100"/>
        <v>52.817460317460323</v>
      </c>
      <c r="V122" s="20">
        <f ca="1">VLOOKUP(C122,INDIRECT(B122),13,FALSE)</f>
        <v>56.96</v>
      </c>
      <c r="W122" s="20">
        <f t="shared" ca="1" si="101"/>
        <v>4.0800004458712342</v>
      </c>
      <c r="X122" s="15">
        <f t="shared" ca="1" si="102"/>
        <v>0.92727282860709859</v>
      </c>
      <c r="Z122" s="16">
        <v>1.2</v>
      </c>
      <c r="AA122" s="16">
        <v>1.5</v>
      </c>
      <c r="AB122" s="20">
        <f>G122*(Z122*E122+AA122*F122)</f>
        <v>192</v>
      </c>
      <c r="AC122" s="20">
        <f>AB122*D122^2/8</f>
        <v>116.16000000000003</v>
      </c>
      <c r="AD122" s="16">
        <v>355</v>
      </c>
      <c r="AE122" s="63">
        <v>1.05</v>
      </c>
      <c r="AF122" s="20">
        <f t="shared" si="103"/>
        <v>338.09523809523807</v>
      </c>
      <c r="AG122" s="20">
        <f>AC122*10^6/AF122/1000</f>
        <v>343.5718309859156</v>
      </c>
      <c r="AH122" s="20">
        <f ca="1">VLOOKUP(C122,INDIRECT(B122),15,FALSE)</f>
        <v>569.6</v>
      </c>
      <c r="AI122" s="15">
        <f ca="1">AG122/AH122</f>
        <v>0.60318088305111583</v>
      </c>
    </row>
    <row r="124" spans="1:35" x14ac:dyDescent="0.25">
      <c r="A124" s="16" t="s">
        <v>283</v>
      </c>
      <c r="B124" s="17" t="s">
        <v>202</v>
      </c>
      <c r="C124" s="17" t="s">
        <v>195</v>
      </c>
      <c r="D124" s="34">
        <v>5.35</v>
      </c>
      <c r="E124" s="34">
        <f>1.5</f>
        <v>1.5</v>
      </c>
      <c r="F124" s="34">
        <v>2.8</v>
      </c>
      <c r="G124" s="34">
        <f>7.6/2+0.7</f>
        <v>4.5</v>
      </c>
      <c r="H124" s="15">
        <f ca="1">X124</f>
        <v>0.78046843293425283</v>
      </c>
      <c r="I124" s="15">
        <f ca="1">AI124</f>
        <v>0.40067463574039935</v>
      </c>
      <c r="J124" s="20">
        <f ca="1">VLOOKUP(C124,INDIRECT(B124),8,FALSE)</f>
        <v>49.1</v>
      </c>
      <c r="K124" s="32">
        <f ca="1">J124*D124</f>
        <v>262.685</v>
      </c>
      <c r="L124" s="35">
        <f ca="1">K124</f>
        <v>262.685</v>
      </c>
      <c r="M124" s="16">
        <v>1</v>
      </c>
      <c r="N124" s="16">
        <v>1</v>
      </c>
      <c r="O124" s="20">
        <f>G124*(M124*E124+N124*F124)</f>
        <v>19.349999999999998</v>
      </c>
      <c r="P124" s="16">
        <v>500</v>
      </c>
      <c r="Q124" s="16"/>
      <c r="R124" s="20">
        <f>D124*1000/P124</f>
        <v>10.7</v>
      </c>
      <c r="S124" s="62">
        <v>5</v>
      </c>
      <c r="T124" s="62">
        <v>384</v>
      </c>
      <c r="U124" s="20">
        <f t="shared" ref="U124:U126" si="106">S124*O124*(D124*1000)^4/(T124*210000*R124)/(10^6)</f>
        <v>91.861134556361591</v>
      </c>
      <c r="V124" s="20">
        <f ca="1">VLOOKUP(C124,INDIRECT(B124),13,FALSE)</f>
        <v>117.7</v>
      </c>
      <c r="W124" s="20">
        <f t="shared" ref="W124:W126" ca="1" si="107">S124*O124*D124^4/(T124*210000*V124)*1000000</f>
        <v>8.3510122323965046</v>
      </c>
      <c r="X124" s="15">
        <f t="shared" ref="X124:X126" ca="1" si="108">W124/R124</f>
        <v>0.78046843293425283</v>
      </c>
      <c r="Z124" s="16">
        <v>1.2</v>
      </c>
      <c r="AA124" s="16">
        <v>1.5</v>
      </c>
      <c r="AB124" s="20">
        <f>G124*(Z124*E124+AA124*F124)</f>
        <v>26.999999999999996</v>
      </c>
      <c r="AC124" s="20">
        <f>AB124*D124^2/8</f>
        <v>96.600937499999972</v>
      </c>
      <c r="AD124" s="16">
        <v>355</v>
      </c>
      <c r="AE124" s="63">
        <v>1.05</v>
      </c>
      <c r="AF124" s="20">
        <f t="shared" ref="AF124:AF126" si="109">AD124/AE124</f>
        <v>338.09523809523807</v>
      </c>
      <c r="AG124" s="20">
        <f>AC124*10^6/AF124/1000</f>
        <v>285.72108274647877</v>
      </c>
      <c r="AH124" s="20">
        <f ca="1">VLOOKUP(C124,INDIRECT(B124),15,FALSE)</f>
        <v>713.1</v>
      </c>
      <c r="AI124" s="15">
        <f ca="1">AG124/AH124</f>
        <v>0.40067463574039935</v>
      </c>
    </row>
    <row r="125" spans="1:35" x14ac:dyDescent="0.25">
      <c r="A125" s="16" t="s">
        <v>283</v>
      </c>
      <c r="B125" s="17" t="s">
        <v>130</v>
      </c>
      <c r="C125" s="17" t="s">
        <v>92</v>
      </c>
      <c r="D125" s="34">
        <f>D124</f>
        <v>5.35</v>
      </c>
      <c r="E125" s="34">
        <f t="shared" ref="E125:G126" si="110">E124</f>
        <v>1.5</v>
      </c>
      <c r="F125" s="34">
        <f t="shared" si="110"/>
        <v>2.8</v>
      </c>
      <c r="G125" s="34">
        <f t="shared" si="110"/>
        <v>4.5</v>
      </c>
      <c r="H125" s="15">
        <f ca="1">X125</f>
        <v>0.87905391919963216</v>
      </c>
      <c r="I125" s="15">
        <f ca="1">AI125</f>
        <v>0.34160818118899899</v>
      </c>
      <c r="J125" s="20">
        <f ca="1">VLOOKUP(C125,INDIRECT(B125),8,FALSE)</f>
        <v>68.2</v>
      </c>
      <c r="K125" s="32">
        <f ca="1">J125*D125</f>
        <v>364.87</v>
      </c>
      <c r="L125" s="35">
        <f ca="1">K125</f>
        <v>364.87</v>
      </c>
      <c r="M125" s="16">
        <v>1</v>
      </c>
      <c r="N125" s="16">
        <v>1</v>
      </c>
      <c r="O125" s="20">
        <f>G125*(M125*E125+N125*F125)</f>
        <v>19.349999999999998</v>
      </c>
      <c r="P125" s="16">
        <v>500</v>
      </c>
      <c r="Q125" s="16"/>
      <c r="R125" s="20">
        <f>D125*1000/P125</f>
        <v>10.7</v>
      </c>
      <c r="S125" s="62">
        <v>5</v>
      </c>
      <c r="T125" s="62">
        <v>384</v>
      </c>
      <c r="U125" s="20">
        <f t="shared" si="106"/>
        <v>91.861134556361591</v>
      </c>
      <c r="V125" s="20">
        <f ca="1">VLOOKUP(C125,INDIRECT(B125),13,FALSE)</f>
        <v>104.5</v>
      </c>
      <c r="W125" s="20">
        <f t="shared" ca="1" si="107"/>
        <v>9.4058769354360638</v>
      </c>
      <c r="X125" s="15">
        <f t="shared" ca="1" si="108"/>
        <v>0.87905391919963216</v>
      </c>
      <c r="Z125" s="16">
        <v>1.2</v>
      </c>
      <c r="AA125" s="16">
        <v>1.5</v>
      </c>
      <c r="AB125" s="20">
        <f>G125*(Z125*E125+AA125*F125)</f>
        <v>26.999999999999996</v>
      </c>
      <c r="AC125" s="20">
        <f>AB125*D125^2/8</f>
        <v>96.600937499999972</v>
      </c>
      <c r="AD125" s="16">
        <v>355</v>
      </c>
      <c r="AE125" s="63">
        <v>1.05</v>
      </c>
      <c r="AF125" s="20">
        <f t="shared" si="109"/>
        <v>338.09523809523807</v>
      </c>
      <c r="AG125" s="20">
        <f>AC125*10^6/AF125/1000</f>
        <v>285.72108274647877</v>
      </c>
      <c r="AH125" s="20">
        <f ca="1">VLOOKUP(C125,INDIRECT(B125),15,FALSE)</f>
        <v>836.4</v>
      </c>
      <c r="AI125" s="15">
        <f ca="1">AG125/AH125</f>
        <v>0.34160818118899899</v>
      </c>
    </row>
    <row r="126" spans="1:35" x14ac:dyDescent="0.25">
      <c r="A126" s="16" t="s">
        <v>283</v>
      </c>
      <c r="B126" s="17" t="s">
        <v>170</v>
      </c>
      <c r="C126" s="17" t="s">
        <v>153</v>
      </c>
      <c r="D126" s="34">
        <f t="shared" ref="D126" si="111">D125</f>
        <v>5.35</v>
      </c>
      <c r="E126" s="34">
        <f t="shared" si="110"/>
        <v>1.5</v>
      </c>
      <c r="F126" s="34">
        <f t="shared" si="110"/>
        <v>2.8</v>
      </c>
      <c r="G126" s="34">
        <f t="shared" si="110"/>
        <v>4.5</v>
      </c>
      <c r="H126" s="15">
        <f ca="1">X126</f>
        <v>0.81581824650409906</v>
      </c>
      <c r="I126" s="15">
        <f ca="1">AI126</f>
        <v>0.30450930698761458</v>
      </c>
      <c r="J126" s="20">
        <f ca="1">VLOOKUP(C126,INDIRECT(B126),8,FALSE)</f>
        <v>83.2</v>
      </c>
      <c r="K126" s="32">
        <f ca="1">J126*D126</f>
        <v>445.12</v>
      </c>
      <c r="L126" s="35">
        <f ca="1">K126</f>
        <v>445.12</v>
      </c>
      <c r="M126" s="16">
        <v>1</v>
      </c>
      <c r="N126" s="16">
        <v>1</v>
      </c>
      <c r="O126" s="20">
        <f>G126*(M126*E126+N126*F126)</f>
        <v>19.349999999999998</v>
      </c>
      <c r="P126" s="16">
        <v>500</v>
      </c>
      <c r="Q126" s="16"/>
      <c r="R126" s="20">
        <f>D126*1000/P126</f>
        <v>10.7</v>
      </c>
      <c r="S126" s="62">
        <v>5</v>
      </c>
      <c r="T126" s="62">
        <v>384</v>
      </c>
      <c r="U126" s="20">
        <f t="shared" si="106"/>
        <v>91.861134556361591</v>
      </c>
      <c r="V126" s="20">
        <f ca="1">VLOOKUP(C126,INDIRECT(B126),13,FALSE)</f>
        <v>112.6</v>
      </c>
      <c r="W126" s="20">
        <f t="shared" ca="1" si="107"/>
        <v>8.7292552375938595</v>
      </c>
      <c r="X126" s="15">
        <f t="shared" ca="1" si="108"/>
        <v>0.81581824650409906</v>
      </c>
      <c r="Z126" s="16">
        <v>1.2</v>
      </c>
      <c r="AA126" s="16">
        <v>1.5</v>
      </c>
      <c r="AB126" s="20">
        <f>G126*(Z126*E126+AA126*F126)</f>
        <v>26.999999999999996</v>
      </c>
      <c r="AC126" s="20">
        <f>AB126*D126^2/8</f>
        <v>96.600937499999972</v>
      </c>
      <c r="AD126" s="16">
        <v>355</v>
      </c>
      <c r="AE126" s="63">
        <v>1.05</v>
      </c>
      <c r="AF126" s="20">
        <f t="shared" si="109"/>
        <v>338.09523809523807</v>
      </c>
      <c r="AG126" s="20">
        <f>AC126*10^6/AF126/1000</f>
        <v>285.72108274647877</v>
      </c>
      <c r="AH126" s="20">
        <f ca="1">VLOOKUP(C126,INDIRECT(B126),15,FALSE)</f>
        <v>938.3</v>
      </c>
      <c r="AI126" s="15">
        <f ca="1">AG126/AH126</f>
        <v>0.30450930698761458</v>
      </c>
    </row>
    <row r="128" spans="1:35" x14ac:dyDescent="0.25">
      <c r="A128" s="16" t="s">
        <v>284</v>
      </c>
      <c r="B128" s="17" t="s">
        <v>202</v>
      </c>
      <c r="C128" s="17" t="s">
        <v>191</v>
      </c>
      <c r="D128" s="34">
        <v>3.2</v>
      </c>
      <c r="E128" s="34">
        <f>1.5</f>
        <v>1.5</v>
      </c>
      <c r="F128" s="34">
        <v>2.8</v>
      </c>
      <c r="G128" s="34">
        <f>0.633*7.5</f>
        <v>4.7475000000000005</v>
      </c>
      <c r="H128" s="15">
        <f ca="1">X128</f>
        <v>0.74813440527726283</v>
      </c>
      <c r="I128" s="15">
        <f ca="1">AI128</f>
        <v>0.42794366197183115</v>
      </c>
      <c r="J128" s="20">
        <f ca="1">VLOOKUP(C128,INDIRECT(B128),8,FALSE)</f>
        <v>26.2</v>
      </c>
      <c r="K128" s="32">
        <f ca="1">J128*D128</f>
        <v>83.84</v>
      </c>
      <c r="L128" s="35">
        <f ca="1">K128</f>
        <v>83.84</v>
      </c>
      <c r="M128" s="16">
        <v>1</v>
      </c>
      <c r="N128" s="16">
        <v>1</v>
      </c>
      <c r="O128" s="20">
        <f>G128*(M128*E128+N128*F128)</f>
        <v>20.414250000000003</v>
      </c>
      <c r="P128" s="16">
        <v>500</v>
      </c>
      <c r="Q128" s="16"/>
      <c r="R128" s="20">
        <f>D128*1000/P128</f>
        <v>6.4</v>
      </c>
      <c r="S128" s="62">
        <v>5</v>
      </c>
      <c r="T128" s="62">
        <v>384</v>
      </c>
      <c r="U128" s="20">
        <f t="shared" ref="U128:U130" si="112">S128*O128*(D128*1000)^4/(T128*210000*R128)/(10^6)</f>
        <v>20.738285714285716</v>
      </c>
      <c r="V128" s="20">
        <f ca="1">VLOOKUP(C128,INDIRECT(B128),13,FALSE)</f>
        <v>27.72</v>
      </c>
      <c r="W128" s="20">
        <f t="shared" ref="W128:W130" ca="1" si="113">S128*O128*D128^4/(T128*210000*V128)*1000000</f>
        <v>4.7880601937744824</v>
      </c>
      <c r="X128" s="15">
        <f t="shared" ref="X128:X130" ca="1" si="114">W128/R128</f>
        <v>0.74813440527726283</v>
      </c>
      <c r="Z128" s="16">
        <v>1.2</v>
      </c>
      <c r="AA128" s="16">
        <v>1.5</v>
      </c>
      <c r="AB128" s="20">
        <f>G128*(Z128*E128+AA128*F128)</f>
        <v>28.484999999999999</v>
      </c>
      <c r="AC128" s="20">
        <f>AB128*D128^2/8</f>
        <v>36.460800000000006</v>
      </c>
      <c r="AD128" s="16">
        <v>355</v>
      </c>
      <c r="AE128" s="63">
        <v>1.05</v>
      </c>
      <c r="AF128" s="20">
        <f t="shared" ref="AF128:AF130" si="115">AD128/AE128</f>
        <v>338.09523809523807</v>
      </c>
      <c r="AG128" s="20">
        <f>AC128*10^6/AF128/1000</f>
        <v>107.84180281690145</v>
      </c>
      <c r="AH128" s="20">
        <f ca="1">VLOOKUP(C128,INDIRECT(B128),15,FALSE)</f>
        <v>252</v>
      </c>
      <c r="AI128" s="15">
        <f ca="1">AG128/AH128</f>
        <v>0.42794366197183115</v>
      </c>
    </row>
    <row r="129" spans="1:37" x14ac:dyDescent="0.25">
      <c r="A129" s="16" t="s">
        <v>283</v>
      </c>
      <c r="B129" s="17" t="s">
        <v>130</v>
      </c>
      <c r="C129" s="17" t="s">
        <v>88</v>
      </c>
      <c r="D129" s="34">
        <f>D128</f>
        <v>3.2</v>
      </c>
      <c r="E129" s="34">
        <f t="shared" ref="E129:G129" si="116">E128</f>
        <v>1.5</v>
      </c>
      <c r="F129" s="34">
        <f t="shared" si="116"/>
        <v>2.8</v>
      </c>
      <c r="G129" s="34">
        <f t="shared" si="116"/>
        <v>4.7475000000000005</v>
      </c>
      <c r="H129" s="15">
        <f ca="1">X129</f>
        <v>0.82622652248150308</v>
      </c>
      <c r="I129" s="15">
        <f ca="1">AI129</f>
        <v>0.367308592700618</v>
      </c>
      <c r="J129" s="20">
        <f ca="1">VLOOKUP(C129,INDIRECT(B129),8,FALSE)</f>
        <v>35.5</v>
      </c>
      <c r="K129" s="32">
        <f ca="1">J129*D129</f>
        <v>113.60000000000001</v>
      </c>
      <c r="L129" s="35">
        <f ca="1">K129</f>
        <v>113.60000000000001</v>
      </c>
      <c r="M129" s="16">
        <v>1</v>
      </c>
      <c r="N129" s="16">
        <v>1</v>
      </c>
      <c r="O129" s="20">
        <f>G129*(M129*E129+N129*F129)</f>
        <v>20.414250000000003</v>
      </c>
      <c r="P129" s="16">
        <v>500</v>
      </c>
      <c r="Q129" s="16"/>
      <c r="R129" s="20">
        <f>D129*1000/P129</f>
        <v>6.4</v>
      </c>
      <c r="S129" s="62">
        <v>5</v>
      </c>
      <c r="T129" s="62">
        <v>384</v>
      </c>
      <c r="U129" s="20">
        <f t="shared" si="112"/>
        <v>20.738285714285716</v>
      </c>
      <c r="V129" s="20">
        <f ca="1">VLOOKUP(C129,INDIRECT(B129),13,FALSE)</f>
        <v>25.1</v>
      </c>
      <c r="W129" s="20">
        <f t="shared" ca="1" si="113"/>
        <v>5.2878497438816199</v>
      </c>
      <c r="X129" s="15">
        <f t="shared" ca="1" si="114"/>
        <v>0.82622652248150308</v>
      </c>
      <c r="Z129" s="16">
        <v>1.2</v>
      </c>
      <c r="AA129" s="16">
        <v>1.5</v>
      </c>
      <c r="AB129" s="20">
        <f>G129*(Z129*E129+AA129*F129)</f>
        <v>28.484999999999999</v>
      </c>
      <c r="AC129" s="20">
        <f>AB129*D129^2/8</f>
        <v>36.460800000000006</v>
      </c>
      <c r="AD129" s="16">
        <v>355</v>
      </c>
      <c r="AE129" s="63">
        <v>1.05</v>
      </c>
      <c r="AF129" s="20">
        <f t="shared" si="115"/>
        <v>338.09523809523807</v>
      </c>
      <c r="AG129" s="20">
        <f>AC129*10^6/AF129/1000</f>
        <v>107.84180281690145</v>
      </c>
      <c r="AH129" s="20">
        <f ca="1">VLOOKUP(C129,INDIRECT(B129),15,FALSE)</f>
        <v>293.60000000000002</v>
      </c>
      <c r="AI129" s="15">
        <f ca="1">AG129/AH129</f>
        <v>0.367308592700618</v>
      </c>
    </row>
    <row r="130" spans="1:37" x14ac:dyDescent="0.25">
      <c r="A130" s="16" t="s">
        <v>283</v>
      </c>
      <c r="B130" s="17" t="s">
        <v>170</v>
      </c>
      <c r="C130" s="17" t="s">
        <v>149</v>
      </c>
      <c r="D130" s="34">
        <f t="shared" ref="D130:G130" si="117">D129</f>
        <v>3.2</v>
      </c>
      <c r="E130" s="34">
        <f t="shared" si="117"/>
        <v>1.5</v>
      </c>
      <c r="F130" s="34">
        <f t="shared" si="117"/>
        <v>2.8</v>
      </c>
      <c r="G130" s="34">
        <f t="shared" si="117"/>
        <v>4.7475000000000005</v>
      </c>
      <c r="H130" s="15">
        <f ca="1">X130</f>
        <v>0.83219445081403387</v>
      </c>
      <c r="I130" s="15">
        <f ca="1">AI130</f>
        <v>0.34620161417945888</v>
      </c>
      <c r="J130" s="20">
        <f ca="1">VLOOKUP(C130,INDIRECT(B130),8,FALSE)</f>
        <v>42.6</v>
      </c>
      <c r="K130" s="32">
        <f ca="1">J130*D130</f>
        <v>136.32000000000002</v>
      </c>
      <c r="L130" s="35">
        <f ca="1">K130</f>
        <v>136.32000000000002</v>
      </c>
      <c r="M130" s="16">
        <v>1</v>
      </c>
      <c r="N130" s="16">
        <v>1</v>
      </c>
      <c r="O130" s="20">
        <f>G130*(M130*E130+N130*F130)</f>
        <v>20.414250000000003</v>
      </c>
      <c r="P130" s="16">
        <v>500</v>
      </c>
      <c r="Q130" s="16"/>
      <c r="R130" s="20">
        <f>D130*1000/P130</f>
        <v>6.4</v>
      </c>
      <c r="S130" s="62">
        <v>5</v>
      </c>
      <c r="T130" s="62">
        <v>384</v>
      </c>
      <c r="U130" s="20">
        <f t="shared" si="112"/>
        <v>20.738285714285716</v>
      </c>
      <c r="V130" s="20">
        <f ca="1">VLOOKUP(C130,INDIRECT(B130),13,FALSE)</f>
        <v>24.92</v>
      </c>
      <c r="W130" s="20">
        <f t="shared" ca="1" si="113"/>
        <v>5.3260444852098168</v>
      </c>
      <c r="X130" s="15">
        <f t="shared" ca="1" si="114"/>
        <v>0.83219445081403387</v>
      </c>
      <c r="Z130" s="16">
        <v>1.2</v>
      </c>
      <c r="AA130" s="16">
        <v>1.5</v>
      </c>
      <c r="AB130" s="20">
        <f>G130*(Z130*E130+AA130*F130)</f>
        <v>28.484999999999999</v>
      </c>
      <c r="AC130" s="20">
        <f>AB130*D130^2/8</f>
        <v>36.460800000000006</v>
      </c>
      <c r="AD130" s="16">
        <v>355</v>
      </c>
      <c r="AE130" s="63">
        <v>1.05</v>
      </c>
      <c r="AF130" s="20">
        <f t="shared" si="115"/>
        <v>338.09523809523807</v>
      </c>
      <c r="AG130" s="20">
        <f>AC130*10^6/AF130/1000</f>
        <v>107.84180281690145</v>
      </c>
      <c r="AH130" s="20">
        <f ca="1">VLOOKUP(C130,INDIRECT(B130),15,FALSE)</f>
        <v>311.5</v>
      </c>
      <c r="AI130" s="15">
        <f ca="1">AG130/AH130</f>
        <v>0.34620161417945888</v>
      </c>
    </row>
    <row r="132" spans="1:37" x14ac:dyDescent="0.25">
      <c r="A132" s="16" t="s">
        <v>285</v>
      </c>
      <c r="B132" s="17" t="s">
        <v>202</v>
      </c>
      <c r="C132" s="17" t="s">
        <v>190</v>
      </c>
      <c r="D132" s="34">
        <v>5.5</v>
      </c>
      <c r="E132" s="34">
        <v>0.5</v>
      </c>
      <c r="F132" s="34">
        <v>2.8</v>
      </c>
      <c r="G132" s="34">
        <v>0.9</v>
      </c>
      <c r="H132" s="15">
        <f ca="1">X132</f>
        <v>0.39421324431567528</v>
      </c>
      <c r="I132" s="15">
        <f ca="1">AI132</f>
        <v>0.24866077577145837</v>
      </c>
      <c r="J132" s="20">
        <f ca="1">VLOOKUP(C132,INDIRECT(B132),8,FALSE)</f>
        <v>22.4</v>
      </c>
      <c r="K132" s="32">
        <f ca="1">J132*D132</f>
        <v>123.19999999999999</v>
      </c>
      <c r="L132" s="35">
        <f ca="1">K132</f>
        <v>123.19999999999999</v>
      </c>
      <c r="M132" s="16">
        <v>1</v>
      </c>
      <c r="N132" s="16">
        <v>1</v>
      </c>
      <c r="O132" s="20">
        <f>G132*(M132*E132+N132*F132)</f>
        <v>2.9699999999999998</v>
      </c>
      <c r="P132" s="16">
        <v>250</v>
      </c>
      <c r="Q132" s="16"/>
      <c r="R132" s="20">
        <f>D132*1000/P132</f>
        <v>22</v>
      </c>
      <c r="S132" s="62">
        <v>5</v>
      </c>
      <c r="T132" s="62">
        <v>384</v>
      </c>
      <c r="U132" s="20">
        <f>S132*O132*(D132*1000)^4/(T132*210000*R132)/(10^6)</f>
        <v>7.6595633370535703</v>
      </c>
      <c r="V132" s="20">
        <f ca="1">VLOOKUP(C132,INDIRECT(B132),13,FALSE)</f>
        <v>19.43</v>
      </c>
      <c r="W132" s="20">
        <f ca="1">S132*O132*D132^4/(T132*210000*V132)*1000000</f>
        <v>8.672691374944856</v>
      </c>
      <c r="X132" s="15">
        <f ca="1">W132/R132</f>
        <v>0.39421324431567528</v>
      </c>
      <c r="Z132" s="16">
        <v>1.2</v>
      </c>
      <c r="AA132" s="16">
        <v>1.5</v>
      </c>
      <c r="AB132" s="20">
        <f>G132*(Z132*E132+AA132*F132)</f>
        <v>4.3199999999999994</v>
      </c>
      <c r="AC132" s="20">
        <f>AB132*D132^2/8</f>
        <v>16.334999999999997</v>
      </c>
      <c r="AD132" s="16">
        <v>355</v>
      </c>
      <c r="AE132" s="63">
        <v>1.05</v>
      </c>
      <c r="AF132" s="20">
        <f>AD132/AE132</f>
        <v>338.09523809523807</v>
      </c>
      <c r="AG132" s="20">
        <f>AC132*10^6/AF132/1000</f>
        <v>48.314788732394362</v>
      </c>
      <c r="AH132" s="20">
        <f ca="1">VLOOKUP(C132,INDIRECT(B132),15,FALSE)</f>
        <v>194.3</v>
      </c>
      <c r="AI132" s="15">
        <f ca="1">AG132/AH132</f>
        <v>0.24866077577145837</v>
      </c>
    </row>
    <row r="134" spans="1:37" x14ac:dyDescent="0.25">
      <c r="A134" s="16" t="s">
        <v>292</v>
      </c>
      <c r="B134" s="17" t="s">
        <v>202</v>
      </c>
      <c r="C134" s="17" t="s">
        <v>191</v>
      </c>
      <c r="D134" s="34">
        <v>3.3</v>
      </c>
      <c r="E134" s="34">
        <v>1</v>
      </c>
      <c r="F134" s="34">
        <v>2.4</v>
      </c>
      <c r="G134" s="34">
        <v>3</v>
      </c>
      <c r="H134" s="15">
        <f ca="1">X134</f>
        <v>0.27057158801020403</v>
      </c>
      <c r="I134" s="15">
        <f ca="1">AI134</f>
        <v>0.34755319148936165</v>
      </c>
      <c r="J134" s="20">
        <f ca="1">VLOOKUP(C134,INDIRECT(B134),8,FALSE)</f>
        <v>26.2</v>
      </c>
      <c r="K134" s="32">
        <f ca="1">J134*D134</f>
        <v>86.46</v>
      </c>
      <c r="L134" s="35">
        <f ca="1">K134</f>
        <v>86.46</v>
      </c>
      <c r="M134" s="16">
        <v>1</v>
      </c>
      <c r="N134" s="16">
        <v>1</v>
      </c>
      <c r="O134" s="20">
        <f>G134*(M134*E134+N134*F134)</f>
        <v>10.199999999999999</v>
      </c>
      <c r="P134" s="16">
        <v>300</v>
      </c>
      <c r="Q134" s="51">
        <v>10</v>
      </c>
      <c r="R134" s="20">
        <f>MIN(D134*1000/P134,Q134)</f>
        <v>10</v>
      </c>
      <c r="S134" s="62">
        <v>5</v>
      </c>
      <c r="T134" s="62">
        <v>384</v>
      </c>
      <c r="U134" s="20">
        <f t="shared" ref="U134:U135" si="118">S134*O134*(D134*1000)^4/(T134*210000*R134)/(10^6)</f>
        <v>7.5002444196428577</v>
      </c>
      <c r="V134" s="20">
        <f ca="1">VLOOKUP(C134,INDIRECT(B134),13,FALSE)</f>
        <v>27.72</v>
      </c>
      <c r="W134" s="20">
        <f t="shared" ref="W134:W135" ca="1" si="119">S134*O134*D134^4/(T134*210000*V134)*1000000</f>
        <v>2.7057158801020402</v>
      </c>
      <c r="X134" s="15">
        <f t="shared" ref="X134:X135" ca="1" si="120">W134/R134</f>
        <v>0.27057158801020403</v>
      </c>
      <c r="Z134" s="16">
        <v>1.2</v>
      </c>
      <c r="AA134" s="16">
        <v>1.5</v>
      </c>
      <c r="AB134" s="20">
        <f>G134*(Z134*E134+AA134*F134)</f>
        <v>14.399999999999999</v>
      </c>
      <c r="AC134" s="20">
        <f>AB134*D134^2/8</f>
        <v>19.601999999999997</v>
      </c>
      <c r="AD134" s="16">
        <v>235</v>
      </c>
      <c r="AE134" s="63">
        <v>1.05</v>
      </c>
      <c r="AF134" s="20">
        <f t="shared" ref="AF134:AF135" si="121">AD134/AE134</f>
        <v>223.8095238095238</v>
      </c>
      <c r="AG134" s="20">
        <f>AC134*10^6/AF134/1000</f>
        <v>87.583404255319138</v>
      </c>
      <c r="AH134" s="20">
        <f ca="1">VLOOKUP(C134,INDIRECT(B134),15,FALSE)</f>
        <v>252</v>
      </c>
      <c r="AI134" s="15">
        <f ca="1">AG134/AH134</f>
        <v>0.34755319148936165</v>
      </c>
    </row>
    <row r="135" spans="1:37" x14ac:dyDescent="0.25">
      <c r="A135" s="16" t="s">
        <v>293</v>
      </c>
      <c r="B135" s="17" t="s">
        <v>202</v>
      </c>
      <c r="C135" s="17" t="s">
        <v>190</v>
      </c>
      <c r="D135" s="34">
        <v>3.3</v>
      </c>
      <c r="E135" s="34">
        <v>1</v>
      </c>
      <c r="F135" s="34">
        <v>2.4</v>
      </c>
      <c r="G135" s="34">
        <v>3</v>
      </c>
      <c r="H135" s="15">
        <f ca="1">X135</f>
        <v>0.16024781166726607</v>
      </c>
      <c r="I135" s="15">
        <f ca="1">AI135</f>
        <v>0.29839293092574998</v>
      </c>
      <c r="J135" s="20">
        <f ca="1">VLOOKUP(C135,INDIRECT(B135),8,FALSE)</f>
        <v>22.4</v>
      </c>
      <c r="K135" s="32">
        <f ca="1">J135*D135</f>
        <v>73.919999999999987</v>
      </c>
      <c r="L135" s="35">
        <f ca="1">K135</f>
        <v>73.919999999999987</v>
      </c>
      <c r="M135" s="16">
        <v>1</v>
      </c>
      <c r="N135" s="16">
        <v>1</v>
      </c>
      <c r="O135" s="20">
        <f>G135*(M135*E135+N135*F135)</f>
        <v>10.199999999999999</v>
      </c>
      <c r="P135" s="16">
        <v>300</v>
      </c>
      <c r="Q135" s="51">
        <v>10</v>
      </c>
      <c r="R135" s="20">
        <f>MIN(D135*1000/P135,Q135)</f>
        <v>10</v>
      </c>
      <c r="S135" s="62">
        <v>1</v>
      </c>
      <c r="T135" s="62">
        <v>185</v>
      </c>
      <c r="U135" s="20">
        <f t="shared" si="118"/>
        <v>3.1136149806949809</v>
      </c>
      <c r="V135" s="20">
        <f ca="1">VLOOKUP(C135,INDIRECT(B135),13,FALSE)</f>
        <v>19.43</v>
      </c>
      <c r="W135" s="20">
        <f t="shared" ca="1" si="119"/>
        <v>1.6024781166726607</v>
      </c>
      <c r="X135" s="15">
        <f t="shared" ca="1" si="120"/>
        <v>0.16024781166726607</v>
      </c>
      <c r="Z135" s="16">
        <v>1.2</v>
      </c>
      <c r="AA135" s="16">
        <v>1.5</v>
      </c>
      <c r="AB135" s="20">
        <f>G135*(Z135*E135+AA135*F135)</f>
        <v>14.399999999999999</v>
      </c>
      <c r="AC135" s="20">
        <f>AB135*D135^2/8</f>
        <v>19.601999999999997</v>
      </c>
      <c r="AD135" s="16">
        <v>355</v>
      </c>
      <c r="AE135" s="63">
        <v>1.05</v>
      </c>
      <c r="AF135" s="20">
        <f t="shared" si="121"/>
        <v>338.09523809523807</v>
      </c>
      <c r="AG135" s="20">
        <f>AC135*10^6/AF135/1000</f>
        <v>57.977746478873229</v>
      </c>
      <c r="AH135" s="20">
        <f ca="1">VLOOKUP(C135,INDIRECT(B135),15,FALSE)</f>
        <v>194.3</v>
      </c>
      <c r="AI135" s="15">
        <f ca="1">AG135/AH135</f>
        <v>0.29839293092574998</v>
      </c>
      <c r="AJ135" s="60">
        <f>AB135*D135/2</f>
        <v>23.759999999999998</v>
      </c>
      <c r="AK135" s="60">
        <f>AB135*D135^2/8</f>
        <v>19.601999999999997</v>
      </c>
    </row>
    <row r="137" spans="1:37" x14ac:dyDescent="0.25">
      <c r="A137" s="16" t="s">
        <v>318</v>
      </c>
      <c r="B137" s="17" t="s">
        <v>202</v>
      </c>
      <c r="C137" s="17" t="s">
        <v>191</v>
      </c>
      <c r="D137" s="34">
        <v>3.3</v>
      </c>
      <c r="E137" s="34">
        <f>3+1.5+0.13*25</f>
        <v>7.75</v>
      </c>
      <c r="F137" s="34">
        <v>5</v>
      </c>
      <c r="G137" s="34">
        <v>2</v>
      </c>
      <c r="H137" s="15">
        <f ca="1">X137</f>
        <v>0.67642897002550995</v>
      </c>
      <c r="I137" s="15">
        <f ca="1">AI137</f>
        <v>0.81095744680851034</v>
      </c>
      <c r="J137" s="20">
        <f ca="1">VLOOKUP(C137,INDIRECT(B137),8,FALSE)</f>
        <v>26.2</v>
      </c>
      <c r="K137" s="32">
        <f ca="1">J137*D137</f>
        <v>86.46</v>
      </c>
      <c r="L137" s="35">
        <f ca="1">K137</f>
        <v>86.46</v>
      </c>
      <c r="M137" s="16">
        <v>1</v>
      </c>
      <c r="N137" s="16">
        <v>1</v>
      </c>
      <c r="O137" s="20">
        <f>G137*(M137*E137+N137*F137)</f>
        <v>25.5</v>
      </c>
      <c r="P137" s="16">
        <v>300</v>
      </c>
      <c r="Q137" s="51">
        <v>10</v>
      </c>
      <c r="R137" s="20">
        <f>MIN(D137*1000/P137,Q137)</f>
        <v>10</v>
      </c>
      <c r="S137" s="62">
        <v>5</v>
      </c>
      <c r="T137" s="62">
        <v>384</v>
      </c>
      <c r="U137" s="20">
        <f t="shared" ref="U137:U138" si="122">S137*O137*(D137*1000)^4/(T137*210000*R137)/(10^6)</f>
        <v>18.750611049107142</v>
      </c>
      <c r="V137" s="20">
        <f ca="1">VLOOKUP(C137,INDIRECT(B137),13,FALSE)</f>
        <v>27.72</v>
      </c>
      <c r="W137" s="20">
        <f t="shared" ref="W137:W138" ca="1" si="123">S137*O137*D137^4/(T137*210000*V137)*1000000</f>
        <v>6.7642897002550999</v>
      </c>
      <c r="X137" s="15">
        <f t="shared" ref="X137:X138" ca="1" si="124">W137/R137</f>
        <v>0.67642897002550995</v>
      </c>
      <c r="Z137" s="16">
        <v>1.2</v>
      </c>
      <c r="AA137" s="16">
        <v>1.5</v>
      </c>
      <c r="AB137" s="20">
        <f>G137*(Z137*E137+AA137*F137)</f>
        <v>33.599999999999994</v>
      </c>
      <c r="AC137" s="20">
        <f>AB137*D137^2/8</f>
        <v>45.737999999999985</v>
      </c>
      <c r="AD137" s="16">
        <v>235</v>
      </c>
      <c r="AE137" s="63">
        <v>1.05</v>
      </c>
      <c r="AF137" s="20">
        <f t="shared" ref="AF137:AF138" si="125">AD137/AE137</f>
        <v>223.8095238095238</v>
      </c>
      <c r="AG137" s="20">
        <f>AC137*10^6/AF137/1000</f>
        <v>204.36127659574461</v>
      </c>
      <c r="AH137" s="20">
        <f ca="1">VLOOKUP(C137,INDIRECT(B137),15,FALSE)</f>
        <v>252</v>
      </c>
      <c r="AI137" s="15">
        <f ca="1">AG137/AH137</f>
        <v>0.81095744680851034</v>
      </c>
    </row>
    <row r="138" spans="1:37" x14ac:dyDescent="0.25">
      <c r="A138" s="16" t="s">
        <v>319</v>
      </c>
      <c r="B138" s="17" t="s">
        <v>202</v>
      </c>
      <c r="C138" s="17" t="s">
        <v>190</v>
      </c>
      <c r="D138" s="34">
        <v>3.3</v>
      </c>
      <c r="E138" s="34">
        <v>1</v>
      </c>
      <c r="F138" s="34">
        <v>2.4</v>
      </c>
      <c r="G138" s="34">
        <v>3</v>
      </c>
      <c r="H138" s="15">
        <f ca="1">X138</f>
        <v>0.16024781166726607</v>
      </c>
      <c r="I138" s="15">
        <f ca="1">AI138</f>
        <v>0.29839293092574998</v>
      </c>
      <c r="J138" s="20">
        <f ca="1">VLOOKUP(C138,INDIRECT(B138),8,FALSE)</f>
        <v>22.4</v>
      </c>
      <c r="K138" s="32">
        <f ca="1">J138*D138</f>
        <v>73.919999999999987</v>
      </c>
      <c r="L138" s="35">
        <f ca="1">K138</f>
        <v>73.919999999999987</v>
      </c>
      <c r="M138" s="16">
        <v>1</v>
      </c>
      <c r="N138" s="16">
        <v>1</v>
      </c>
      <c r="O138" s="20">
        <f>G138*(M138*E138+N138*F138)</f>
        <v>10.199999999999999</v>
      </c>
      <c r="P138" s="16">
        <v>300</v>
      </c>
      <c r="Q138" s="51">
        <v>10</v>
      </c>
      <c r="R138" s="20">
        <f>MIN(D138*1000/P138,Q138)</f>
        <v>10</v>
      </c>
      <c r="S138" s="62">
        <v>1</v>
      </c>
      <c r="T138" s="62">
        <v>185</v>
      </c>
      <c r="U138" s="20">
        <f t="shared" si="122"/>
        <v>3.1136149806949809</v>
      </c>
      <c r="V138" s="20">
        <f ca="1">VLOOKUP(C138,INDIRECT(B138),13,FALSE)</f>
        <v>19.43</v>
      </c>
      <c r="W138" s="20">
        <f t="shared" ca="1" si="123"/>
        <v>1.6024781166726607</v>
      </c>
      <c r="X138" s="15">
        <f t="shared" ca="1" si="124"/>
        <v>0.16024781166726607</v>
      </c>
      <c r="Z138" s="16">
        <v>1.2</v>
      </c>
      <c r="AA138" s="16">
        <v>1.5</v>
      </c>
      <c r="AB138" s="20">
        <f>G138*(Z138*E138+AA138*F138)</f>
        <v>14.399999999999999</v>
      </c>
      <c r="AC138" s="20">
        <f>AB138*D138^2/8</f>
        <v>19.601999999999997</v>
      </c>
      <c r="AD138" s="16">
        <v>355</v>
      </c>
      <c r="AE138" s="63">
        <v>1.05</v>
      </c>
      <c r="AF138" s="20">
        <f t="shared" si="125"/>
        <v>338.09523809523807</v>
      </c>
      <c r="AG138" s="20">
        <f>AC138*10^6/AF138/1000</f>
        <v>57.977746478873229</v>
      </c>
      <c r="AH138" s="20">
        <f ca="1">VLOOKUP(C138,INDIRECT(B138),15,FALSE)</f>
        <v>194.3</v>
      </c>
      <c r="AI138" s="15">
        <f ca="1">AG138/AH138</f>
        <v>0.29839293092574998</v>
      </c>
      <c r="AJ138" s="60">
        <f>AB138*D138/2</f>
        <v>23.759999999999998</v>
      </c>
      <c r="AK138" s="60">
        <f>AB138*D138^2/8</f>
        <v>19.601999999999997</v>
      </c>
    </row>
  </sheetData>
  <autoFilter ref="A5:AK135" xr:uid="{ACCBE679-5C61-4A9F-A0E5-362ECA01F035}"/>
  <conditionalFormatting sqref="H7:I9">
    <cfRule type="cellIs" dxfId="206" priority="464" stopIfTrue="1" operator="lessThan">
      <formula>0.9</formula>
    </cfRule>
    <cfRule type="cellIs" dxfId="205" priority="475" operator="lessThan">
      <formula>1</formula>
    </cfRule>
    <cfRule type="cellIs" dxfId="204" priority="474" operator="greaterThan">
      <formula>1</formula>
    </cfRule>
  </conditionalFormatting>
  <conditionalFormatting sqref="H11:I13">
    <cfRule type="cellIs" dxfId="203" priority="461" stopIfTrue="1" operator="lessThan">
      <formula>0.9</formula>
    </cfRule>
    <cfRule type="cellIs" dxfId="202" priority="463" operator="greaterThan">
      <formula>1</formula>
    </cfRule>
    <cfRule type="cellIs" dxfId="201" priority="462" operator="lessThan">
      <formula>1</formula>
    </cfRule>
  </conditionalFormatting>
  <conditionalFormatting sqref="H15:I17">
    <cfRule type="cellIs" dxfId="200" priority="455" operator="lessThan">
      <formula>1</formula>
    </cfRule>
    <cfRule type="cellIs" dxfId="199" priority="456" operator="greaterThan">
      <formula>1</formula>
    </cfRule>
    <cfRule type="cellIs" dxfId="198" priority="454" stopIfTrue="1" operator="lessThan">
      <formula>0.9</formula>
    </cfRule>
  </conditionalFormatting>
  <conditionalFormatting sqref="H19:I21">
    <cfRule type="cellIs" dxfId="197" priority="449" operator="greaterThan">
      <formula>1</formula>
    </cfRule>
    <cfRule type="cellIs" dxfId="196" priority="447" stopIfTrue="1" operator="lessThan">
      <formula>0.9</formula>
    </cfRule>
    <cfRule type="cellIs" dxfId="195" priority="448" operator="lessThan">
      <formula>1</formula>
    </cfRule>
  </conditionalFormatting>
  <conditionalFormatting sqref="H23:I25">
    <cfRule type="cellIs" dxfId="194" priority="420" stopIfTrue="1" operator="lessThan">
      <formula>0.9</formula>
    </cfRule>
    <cfRule type="cellIs" dxfId="193" priority="421" operator="lessThan">
      <formula>1</formula>
    </cfRule>
    <cfRule type="cellIs" dxfId="192" priority="422" operator="greaterThan">
      <formula>1</formula>
    </cfRule>
  </conditionalFormatting>
  <conditionalFormatting sqref="H27:I29">
    <cfRule type="cellIs" dxfId="191" priority="410" stopIfTrue="1" operator="lessThan">
      <formula>0.9</formula>
    </cfRule>
    <cfRule type="cellIs" dxfId="190" priority="411" operator="lessThan">
      <formula>1</formula>
    </cfRule>
    <cfRule type="cellIs" dxfId="189" priority="412" operator="greaterThan">
      <formula>1</formula>
    </cfRule>
  </conditionalFormatting>
  <conditionalFormatting sqref="H31:I33">
    <cfRule type="cellIs" dxfId="188" priority="401" operator="lessThan">
      <formula>1</formula>
    </cfRule>
    <cfRule type="cellIs" dxfId="187" priority="402" operator="greaterThan">
      <formula>1</formula>
    </cfRule>
    <cfRule type="cellIs" dxfId="186" priority="400" stopIfTrue="1" operator="lessThan">
      <formula>0.9</formula>
    </cfRule>
  </conditionalFormatting>
  <conditionalFormatting sqref="H36:I38">
    <cfRule type="cellIs" dxfId="185" priority="370" operator="greaterThan">
      <formula>1</formula>
    </cfRule>
    <cfRule type="cellIs" dxfId="184" priority="368" stopIfTrue="1" operator="lessThan">
      <formula>0.9</formula>
    </cfRule>
    <cfRule type="cellIs" dxfId="183" priority="369" operator="lessThan">
      <formula>1</formula>
    </cfRule>
  </conditionalFormatting>
  <conditionalFormatting sqref="H41:I43">
    <cfRule type="cellIs" dxfId="182" priority="361" operator="greaterThan">
      <formula>1</formula>
    </cfRule>
    <cfRule type="cellIs" dxfId="181" priority="360" operator="lessThan">
      <formula>1</formula>
    </cfRule>
    <cfRule type="cellIs" dxfId="180" priority="359" stopIfTrue="1" operator="lessThan">
      <formula>0.9</formula>
    </cfRule>
  </conditionalFormatting>
  <conditionalFormatting sqref="H45:I47">
    <cfRule type="cellIs" dxfId="179" priority="350" stopIfTrue="1" operator="lessThan">
      <formula>0.9</formula>
    </cfRule>
    <cfRule type="cellIs" dxfId="178" priority="351" operator="lessThan">
      <formula>1</formula>
    </cfRule>
    <cfRule type="cellIs" dxfId="177" priority="352" operator="greaterThan">
      <formula>1</formula>
    </cfRule>
  </conditionalFormatting>
  <conditionalFormatting sqref="H49:I51">
    <cfRule type="cellIs" dxfId="176" priority="342" operator="lessThan">
      <formula>1</formula>
    </cfRule>
    <cfRule type="cellIs" dxfId="175" priority="341" stopIfTrue="1" operator="lessThan">
      <formula>0.9</formula>
    </cfRule>
    <cfRule type="cellIs" dxfId="174" priority="343" operator="greaterThan">
      <formula>1</formula>
    </cfRule>
  </conditionalFormatting>
  <conditionalFormatting sqref="H53:I53">
    <cfRule type="cellIs" dxfId="173" priority="314" stopIfTrue="1" operator="lessThan">
      <formula>0.9</formula>
    </cfRule>
    <cfRule type="cellIs" dxfId="172" priority="315" operator="lessThan">
      <formula>1</formula>
    </cfRule>
    <cfRule type="cellIs" dxfId="171" priority="316" operator="greaterThan">
      <formula>1</formula>
    </cfRule>
  </conditionalFormatting>
  <conditionalFormatting sqref="H55:I55">
    <cfRule type="cellIs" dxfId="170" priority="296" stopIfTrue="1" operator="lessThan">
      <formula>0.9</formula>
    </cfRule>
    <cfRule type="cellIs" dxfId="169" priority="297" operator="lessThan">
      <formula>1</formula>
    </cfRule>
    <cfRule type="cellIs" dxfId="168" priority="298" operator="greaterThan">
      <formula>1</formula>
    </cfRule>
  </conditionalFormatting>
  <conditionalFormatting sqref="H57:I58">
    <cfRule type="cellIs" dxfId="167" priority="282" stopIfTrue="1" operator="lessThan">
      <formula>0.9</formula>
    </cfRule>
    <cfRule type="cellIs" dxfId="166" priority="284" operator="greaterThan">
      <formula>1</formula>
    </cfRule>
    <cfRule type="cellIs" dxfId="165" priority="283" operator="lessThan">
      <formula>1</formula>
    </cfRule>
  </conditionalFormatting>
  <conditionalFormatting sqref="H60:I60">
    <cfRule type="cellIs" dxfId="164" priority="274" operator="lessThan">
      <formula>1</formula>
    </cfRule>
    <cfRule type="cellIs" dxfId="163" priority="273" stopIfTrue="1" operator="lessThan">
      <formula>0.9</formula>
    </cfRule>
    <cfRule type="cellIs" dxfId="162" priority="275" operator="greaterThan">
      <formula>1</formula>
    </cfRule>
  </conditionalFormatting>
  <conditionalFormatting sqref="H62:I62">
    <cfRule type="cellIs" dxfId="161" priority="266" operator="greaterThan">
      <formula>1</formula>
    </cfRule>
    <cfRule type="cellIs" dxfId="160" priority="265" operator="lessThan">
      <formula>1</formula>
    </cfRule>
    <cfRule type="cellIs" dxfId="159" priority="264" stopIfTrue="1" operator="lessThan">
      <formula>0.9</formula>
    </cfRule>
  </conditionalFormatting>
  <conditionalFormatting sqref="H64:I64">
    <cfRule type="cellIs" dxfId="158" priority="255" stopIfTrue="1" operator="lessThan">
      <formula>0.9</formula>
    </cfRule>
    <cfRule type="cellIs" dxfId="157" priority="256" operator="lessThan">
      <formula>1</formula>
    </cfRule>
    <cfRule type="cellIs" dxfId="156" priority="257" operator="greaterThan">
      <formula>1</formula>
    </cfRule>
  </conditionalFormatting>
  <conditionalFormatting sqref="H66:I66">
    <cfRule type="cellIs" dxfId="155" priority="248" operator="greaterThan">
      <formula>1</formula>
    </cfRule>
    <cfRule type="cellIs" dxfId="154" priority="247" operator="lessThan">
      <formula>1</formula>
    </cfRule>
    <cfRule type="cellIs" dxfId="153" priority="246" stopIfTrue="1" operator="lessThan">
      <formula>0.9</formula>
    </cfRule>
  </conditionalFormatting>
  <conditionalFormatting sqref="H68:I68">
    <cfRule type="cellIs" dxfId="152" priority="239" operator="greaterThan">
      <formula>1</formula>
    </cfRule>
    <cfRule type="cellIs" dxfId="151" priority="238" operator="lessThan">
      <formula>1</formula>
    </cfRule>
    <cfRule type="cellIs" dxfId="150" priority="237" stopIfTrue="1" operator="lessThan">
      <formula>0.9</formula>
    </cfRule>
  </conditionalFormatting>
  <conditionalFormatting sqref="H70:I70">
    <cfRule type="cellIs" dxfId="149" priority="228" stopIfTrue="1" operator="lessThan">
      <formula>0.9</formula>
    </cfRule>
    <cfRule type="cellIs" dxfId="148" priority="230" operator="greaterThan">
      <formula>1</formula>
    </cfRule>
    <cfRule type="cellIs" dxfId="147" priority="229" operator="lessThan">
      <formula>1</formula>
    </cfRule>
  </conditionalFormatting>
  <conditionalFormatting sqref="H72:I74">
    <cfRule type="cellIs" dxfId="146" priority="219" stopIfTrue="1" operator="lessThan">
      <formula>0.9</formula>
    </cfRule>
    <cfRule type="cellIs" dxfId="145" priority="221" operator="greaterThan">
      <formula>1</formula>
    </cfRule>
    <cfRule type="cellIs" dxfId="144" priority="220" operator="lessThan">
      <formula>1</formula>
    </cfRule>
  </conditionalFormatting>
  <conditionalFormatting sqref="H76:I78">
    <cfRule type="cellIs" dxfId="143" priority="212" operator="greaterThan">
      <formula>1</formula>
    </cfRule>
    <cfRule type="cellIs" dxfId="142" priority="210" stopIfTrue="1" operator="lessThan">
      <formula>0.9</formula>
    </cfRule>
    <cfRule type="cellIs" dxfId="141" priority="211" operator="lessThan">
      <formula>1</formula>
    </cfRule>
  </conditionalFormatting>
  <conditionalFormatting sqref="H80:I82">
    <cfRule type="cellIs" dxfId="140" priority="191" operator="greaterThan">
      <formula>1</formula>
    </cfRule>
    <cfRule type="cellIs" dxfId="139" priority="190" operator="lessThan">
      <formula>1</formula>
    </cfRule>
    <cfRule type="cellIs" dxfId="138" priority="189" stopIfTrue="1" operator="lessThan">
      <formula>0.9</formula>
    </cfRule>
  </conditionalFormatting>
  <conditionalFormatting sqref="H84:I84">
    <cfRule type="cellIs" dxfId="137" priority="182" operator="greaterThan">
      <formula>1</formula>
    </cfRule>
    <cfRule type="cellIs" dxfId="136" priority="181" operator="lessThan">
      <formula>1</formula>
    </cfRule>
    <cfRule type="cellIs" dxfId="135" priority="180" stopIfTrue="1" operator="lessThan">
      <formula>0.9</formula>
    </cfRule>
  </conditionalFormatting>
  <conditionalFormatting sqref="H86:I88">
    <cfRule type="cellIs" dxfId="134" priority="169" operator="lessThan">
      <formula>1</formula>
    </cfRule>
    <cfRule type="cellIs" dxfId="133" priority="168" stopIfTrue="1" operator="lessThan">
      <formula>0.9</formula>
    </cfRule>
    <cfRule type="cellIs" dxfId="132" priority="170" operator="greaterThan">
      <formula>1</formula>
    </cfRule>
  </conditionalFormatting>
  <conditionalFormatting sqref="H90:I92">
    <cfRule type="cellIs" dxfId="131" priority="143" operator="greaterThan">
      <formula>1</formula>
    </cfRule>
    <cfRule type="cellIs" dxfId="130" priority="142" operator="lessThan">
      <formula>1</formula>
    </cfRule>
    <cfRule type="cellIs" dxfId="129" priority="141" stopIfTrue="1" operator="lessThan">
      <formula>0.9</formula>
    </cfRule>
  </conditionalFormatting>
  <conditionalFormatting sqref="H94:I96">
    <cfRule type="cellIs" dxfId="128" priority="134" operator="greaterThan">
      <formula>1</formula>
    </cfRule>
    <cfRule type="cellIs" dxfId="127" priority="133" operator="lessThan">
      <formula>1</formula>
    </cfRule>
    <cfRule type="cellIs" dxfId="126" priority="132" stopIfTrue="1" operator="lessThan">
      <formula>0.9</formula>
    </cfRule>
  </conditionalFormatting>
  <conditionalFormatting sqref="H98:I98">
    <cfRule type="cellIs" dxfId="125" priority="125" operator="greaterThan">
      <formula>1</formula>
    </cfRule>
    <cfRule type="cellIs" dxfId="124" priority="124" operator="lessThan">
      <formula>1</formula>
    </cfRule>
    <cfRule type="cellIs" dxfId="123" priority="123" stopIfTrue="1" operator="lessThan">
      <formula>0.9</formula>
    </cfRule>
  </conditionalFormatting>
  <conditionalFormatting sqref="H100:I100">
    <cfRule type="cellIs" dxfId="122" priority="116" operator="greaterThan">
      <formula>1</formula>
    </cfRule>
    <cfRule type="cellIs" dxfId="121" priority="115" operator="lessThan">
      <formula>1</formula>
    </cfRule>
    <cfRule type="cellIs" dxfId="120" priority="114" stopIfTrue="1" operator="lessThan">
      <formula>0.9</formula>
    </cfRule>
  </conditionalFormatting>
  <conditionalFormatting sqref="H102:I104">
    <cfRule type="cellIs" dxfId="119" priority="104" operator="greaterThan">
      <formula>1</formula>
    </cfRule>
    <cfRule type="cellIs" dxfId="118" priority="103" operator="lessThan">
      <formula>1</formula>
    </cfRule>
    <cfRule type="cellIs" dxfId="117" priority="102" stopIfTrue="1" operator="lessThan">
      <formula>0.9</formula>
    </cfRule>
  </conditionalFormatting>
  <conditionalFormatting sqref="H106:I106">
    <cfRule type="cellIs" dxfId="116" priority="95" operator="greaterThan">
      <formula>1</formula>
    </cfRule>
    <cfRule type="cellIs" dxfId="115" priority="94" operator="lessThan">
      <formula>1</formula>
    </cfRule>
    <cfRule type="cellIs" dxfId="114" priority="93" stopIfTrue="1" operator="lessThan">
      <formula>0.9</formula>
    </cfRule>
  </conditionalFormatting>
  <conditionalFormatting sqref="H108:I110">
    <cfRule type="cellIs" dxfId="113" priority="78" stopIfTrue="1" operator="lessThan">
      <formula>0.9</formula>
    </cfRule>
    <cfRule type="cellIs" dxfId="112" priority="79" operator="lessThan">
      <formula>1</formula>
    </cfRule>
    <cfRule type="cellIs" dxfId="111" priority="80" operator="greaterThan">
      <formula>1</formula>
    </cfRule>
  </conditionalFormatting>
  <conditionalFormatting sqref="H112:I114">
    <cfRule type="cellIs" dxfId="110" priority="69" stopIfTrue="1" operator="lessThan">
      <formula>0.9</formula>
    </cfRule>
    <cfRule type="cellIs" dxfId="109" priority="71" operator="greaterThan">
      <formula>1</formula>
    </cfRule>
    <cfRule type="cellIs" dxfId="108" priority="70" operator="lessThan">
      <formula>1</formula>
    </cfRule>
  </conditionalFormatting>
  <conditionalFormatting sqref="H116:I118">
    <cfRule type="cellIs" dxfId="107" priority="62" operator="greaterThan">
      <formula>1</formula>
    </cfRule>
    <cfRule type="cellIs" dxfId="106" priority="61" operator="lessThan">
      <formula>1</formula>
    </cfRule>
    <cfRule type="cellIs" dxfId="105" priority="60" stopIfTrue="1" operator="lessThan">
      <formula>0.9</formula>
    </cfRule>
  </conditionalFormatting>
  <conditionalFormatting sqref="H120:I122">
    <cfRule type="cellIs" dxfId="104" priority="52" operator="lessThan">
      <formula>1</formula>
    </cfRule>
    <cfRule type="cellIs" dxfId="103" priority="51" stopIfTrue="1" operator="lessThan">
      <formula>0.9</formula>
    </cfRule>
    <cfRule type="cellIs" dxfId="102" priority="53" operator="greaterThan">
      <formula>1</formula>
    </cfRule>
  </conditionalFormatting>
  <conditionalFormatting sqref="H124:I126">
    <cfRule type="cellIs" dxfId="101" priority="44" operator="greaterThan">
      <formula>1</formula>
    </cfRule>
    <cfRule type="cellIs" dxfId="100" priority="42" stopIfTrue="1" operator="lessThan">
      <formula>0.9</formula>
    </cfRule>
    <cfRule type="cellIs" dxfId="99" priority="43" operator="lessThan">
      <formula>1</formula>
    </cfRule>
  </conditionalFormatting>
  <conditionalFormatting sqref="H128:I130">
    <cfRule type="cellIs" dxfId="98" priority="35" operator="greaterThan">
      <formula>1</formula>
    </cfRule>
    <cfRule type="cellIs" dxfId="97" priority="34" operator="lessThan">
      <formula>1</formula>
    </cfRule>
    <cfRule type="cellIs" dxfId="96" priority="33" stopIfTrue="1" operator="lessThan">
      <formula>0.9</formula>
    </cfRule>
  </conditionalFormatting>
  <conditionalFormatting sqref="H132:I132">
    <cfRule type="cellIs" dxfId="95" priority="26" operator="greaterThan">
      <formula>1</formula>
    </cfRule>
    <cfRule type="cellIs" dxfId="94" priority="25" operator="lessThan">
      <formula>1</formula>
    </cfRule>
    <cfRule type="cellIs" dxfId="93" priority="24" stopIfTrue="1" operator="lessThan">
      <formula>0.9</formula>
    </cfRule>
  </conditionalFormatting>
  <conditionalFormatting sqref="H134:I135">
    <cfRule type="cellIs" dxfId="92" priority="14" operator="greaterThan">
      <formula>1</formula>
    </cfRule>
    <cfRule type="cellIs" dxfId="91" priority="13" operator="lessThan">
      <formula>1</formula>
    </cfRule>
    <cfRule type="cellIs" dxfId="90" priority="12" stopIfTrue="1" operator="lessThan">
      <formula>0.9</formula>
    </cfRule>
  </conditionalFormatting>
  <conditionalFormatting sqref="H137:I138">
    <cfRule type="cellIs" dxfId="89" priority="3" stopIfTrue="1" operator="lessThan">
      <formula>0.9</formula>
    </cfRule>
    <cfRule type="cellIs" dxfId="88" priority="5" operator="greaterThan">
      <formula>1</formula>
    </cfRule>
    <cfRule type="cellIs" dxfId="87" priority="4" operator="lessThan">
      <formula>1</formula>
    </cfRule>
  </conditionalFormatting>
  <conditionalFormatting sqref="I7:I9">
    <cfRule type="cellIs" dxfId="86" priority="473" operator="lessThan">
      <formula>1</formula>
    </cfRule>
  </conditionalFormatting>
  <conditionalFormatting sqref="J26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{81D7641D-C64F-4A77-BBCC-125718AD0DF7}</x14:id>
        </ext>
      </extLst>
    </cfRule>
  </conditionalFormatting>
  <conditionalFormatting sqref="K7:K9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3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K17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21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29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3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8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3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:K47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51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:K58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:K7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78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0:K82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6:K88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0:K92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9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2:K10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8:K11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2:K11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6:K11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0:K1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4:K12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8:K13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4:K1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7:K1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9">
    <cfRule type="dataBar" priority="3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{11177C97-66A5-4CD6-AB91-C0BA81855A92}</x14:id>
        </ext>
      </extLst>
    </cfRule>
  </conditionalFormatting>
  <conditionalFormatting sqref="L11:L13">
    <cfRule type="dataBar" priority="38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{BE136F72-C56A-4878-B47E-CEE0AC2AFB40}</x14:id>
        </ext>
      </extLst>
    </cfRule>
  </conditionalFormatting>
  <conditionalFormatting sqref="L15:L17">
    <cfRule type="dataBar" priority="3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{FCF4B604-355D-4D94-B50F-7899CB0DCDF9}</x14:id>
        </ext>
      </extLst>
    </cfRule>
  </conditionalFormatting>
  <conditionalFormatting sqref="L19:L21">
    <cfRule type="dataBar" priority="4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{7432CE42-0845-445A-B799-B0A8F6046ACB}</x14:id>
        </ext>
      </extLst>
    </cfRule>
  </conditionalFormatting>
  <conditionalFormatting sqref="L23:L25">
    <cfRule type="dataBar" priority="3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{3C18CDB6-8356-4EC0-AA2C-464F00A30EA2}</x14:id>
        </ext>
      </extLst>
    </cfRule>
  </conditionalFormatting>
  <conditionalFormatting sqref="L27:L29">
    <cfRule type="dataBar" priority="38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{86E495B9-6732-4536-AEDE-06BDF268F865}</x14:id>
        </ext>
      </extLst>
    </cfRule>
  </conditionalFormatting>
  <conditionalFormatting sqref="L31:L33">
    <cfRule type="dataBar" priority="3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{6B64C337-8C69-43D0-819B-C08573052639}</x14:id>
        </ext>
      </extLst>
    </cfRule>
  </conditionalFormatting>
  <conditionalFormatting sqref="L36:L38">
    <cfRule type="dataBar" priority="3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{A44B706B-6156-4276-BF29-650F1A875AE5}</x14:id>
        </ext>
      </extLst>
    </cfRule>
  </conditionalFormatting>
  <conditionalFormatting sqref="L41:L43">
    <cfRule type="dataBar" priority="3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{DC94D075-698D-409F-B7F9-8FD6F63DB36A}</x14:id>
        </ext>
      </extLst>
    </cfRule>
  </conditionalFormatting>
  <conditionalFormatting sqref="L45:L47">
    <cfRule type="dataBar" priority="3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{ECB863B2-1C18-41B4-8BBD-B1359D228124}</x14:id>
        </ext>
      </extLst>
    </cfRule>
  </conditionalFormatting>
  <conditionalFormatting sqref="L49:L51">
    <cfRule type="dataBar" priority="3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{CA7D879D-FDCA-4D66-A4FC-557425E232DB}</x14:id>
        </ext>
      </extLst>
    </cfRule>
  </conditionalFormatting>
  <conditionalFormatting sqref="L53">
    <cfRule type="dataBar" priority="3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{658B0362-005B-44D3-97FD-D9B0F3A4FE84}</x14:id>
        </ext>
      </extLst>
    </cfRule>
  </conditionalFormatting>
  <conditionalFormatting sqref="L55">
    <cfRule type="dataBar" priority="2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{8DDAFF46-D476-4C76-871B-3F9388710E7D}</x14:id>
        </ext>
      </extLst>
    </cfRule>
  </conditionalFormatting>
  <conditionalFormatting sqref="L57:L58">
    <cfRule type="dataBar" priority="2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{10E538E0-BC1D-4E14-A92A-40F41C8A4712}</x14:id>
        </ext>
      </extLst>
    </cfRule>
  </conditionalFormatting>
  <conditionalFormatting sqref="L60">
    <cfRule type="dataBar" priority="2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{2B2F9DEA-36CF-49D7-BEEF-7B068287EF5C}</x14:id>
        </ext>
      </extLst>
    </cfRule>
  </conditionalFormatting>
  <conditionalFormatting sqref="L62">
    <cfRule type="dataBar" priority="2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{D342D738-B8DA-4B7A-87E1-C37609AE2DF8}</x14:id>
        </ext>
      </extLst>
    </cfRule>
  </conditionalFormatting>
  <conditionalFormatting sqref="L64">
    <cfRule type="dataBar" priority="2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{7C7A7B5C-AC0B-4677-914A-17BED0439273}</x14:id>
        </ext>
      </extLst>
    </cfRule>
  </conditionalFormatting>
  <conditionalFormatting sqref="L66">
    <cfRule type="dataBar" priority="2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{0317F0A1-4FD6-43F2-A80E-D2261B04C342}</x14:id>
        </ext>
      </extLst>
    </cfRule>
  </conditionalFormatting>
  <conditionalFormatting sqref="L68">
    <cfRule type="dataBar" priority="2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{25E3EB55-DCD1-43A1-A80E-133D5518B7F8}</x14:id>
        </ext>
      </extLst>
    </cfRule>
  </conditionalFormatting>
  <conditionalFormatting sqref="L70">
    <cfRule type="dataBar" priority="2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{6C6165BA-02B8-488D-B8EC-64055EAC5042}</x14:id>
        </ext>
      </extLst>
    </cfRule>
  </conditionalFormatting>
  <conditionalFormatting sqref="L72:L74">
    <cfRule type="dataBar" priority="2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{DE166970-EE37-40B6-8E9D-54B5C52484AF}</x14:id>
        </ext>
      </extLst>
    </cfRule>
  </conditionalFormatting>
  <conditionalFormatting sqref="L76:L78">
    <cfRule type="dataBar" priority="2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{AE5718DD-D20F-45F6-ACAD-E4A6CDD9023C}</x14:id>
        </ext>
      </extLst>
    </cfRule>
  </conditionalFormatting>
  <conditionalFormatting sqref="L80:L82">
    <cfRule type="dataBar" priority="1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{8EBAFDB9-F06C-450A-8459-FEB7945B99E1}</x14:id>
        </ext>
      </extLst>
    </cfRule>
  </conditionalFormatting>
  <conditionalFormatting sqref="L84">
    <cfRule type="dataBar" priority="1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{80F009FB-6C18-44AC-B9DB-A72518BFA807}</x14:id>
        </ext>
      </extLst>
    </cfRule>
  </conditionalFormatting>
  <conditionalFormatting sqref="L86:L88">
    <cfRule type="dataBar" priority="1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{F1512065-1587-4D7F-85CE-EE4D64BC8E62}</x14:id>
        </ext>
      </extLst>
    </cfRule>
  </conditionalFormatting>
  <conditionalFormatting sqref="L90:L92">
    <cfRule type="dataBar" priority="1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{64392DCF-18A0-4C25-A09F-65C21BAD0A01}</x14:id>
        </ext>
      </extLst>
    </cfRule>
  </conditionalFormatting>
  <conditionalFormatting sqref="L94:L96">
    <cfRule type="dataBar" priority="1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{50562EAE-09B5-4F2B-967B-1F0D40602AFF}</x14:id>
        </ext>
      </extLst>
    </cfRule>
  </conditionalFormatting>
  <conditionalFormatting sqref="L98">
    <cfRule type="dataBar" priority="1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{C628DF30-66D1-4D76-BCA8-36E161C2B1D4}</x14:id>
        </ext>
      </extLst>
    </cfRule>
  </conditionalFormatting>
  <conditionalFormatting sqref="L100">
    <cfRule type="dataBar" priority="1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{59321B93-AB93-4C0F-8DE8-BDCD3CF8D6DB}</x14:id>
        </ext>
      </extLst>
    </cfRule>
  </conditionalFormatting>
  <conditionalFormatting sqref="L102:L104">
    <cfRule type="dataBar" priority="10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{99EF987A-D5FC-47EB-93D4-1E695E6786D9}</x14:id>
        </ext>
      </extLst>
    </cfRule>
  </conditionalFormatting>
  <conditionalFormatting sqref="L106">
    <cfRule type="dataBar" priority="9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{D4ABCE4C-C152-41F3-BCFD-70D65DFAD150}</x14:id>
        </ext>
      </extLst>
    </cfRule>
  </conditionalFormatting>
  <conditionalFormatting sqref="L108:L110">
    <cfRule type="dataBar" priority="8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{3EB4E85A-30C3-45E1-B1C0-2C98D38989B5}</x14:id>
        </ext>
      </extLst>
    </cfRule>
  </conditionalFormatting>
  <conditionalFormatting sqref="L112:L114">
    <cfRule type="dataBar" priority="7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{90D5CF95-ADEB-41FF-AA29-269A01A5F80E}</x14:id>
        </ext>
      </extLst>
    </cfRule>
  </conditionalFormatting>
  <conditionalFormatting sqref="L116:L118">
    <cfRule type="dataBar" priority="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{29E893EF-3B9E-4C5A-BC55-B29919256C06}</x14:id>
        </ext>
      </extLst>
    </cfRule>
  </conditionalFormatting>
  <conditionalFormatting sqref="L120:L122">
    <cfRule type="dataBar" priority="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{95E88D83-9399-4EAD-9758-153B4DEB223C}</x14:id>
        </ext>
      </extLst>
    </cfRule>
  </conditionalFormatting>
  <conditionalFormatting sqref="L124:L126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{28351013-DEF9-49BA-92D0-F298C78685A0}</x14:id>
        </ext>
      </extLst>
    </cfRule>
  </conditionalFormatting>
  <conditionalFormatting sqref="L128:L130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{12125D5A-57AA-41DC-BCA0-9146034B85D2}</x14:id>
        </ext>
      </extLst>
    </cfRule>
  </conditionalFormatting>
  <conditionalFormatting sqref="L132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{55D0F9EA-CBEC-4FF1-A7A7-4D2EAF707703}</x14:id>
        </ext>
      </extLst>
    </cfRule>
  </conditionalFormatting>
  <conditionalFormatting sqref="L134:L135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{868F7801-B17C-4929-8171-8CD3D2BDD8BB}</x14:id>
        </ext>
      </extLst>
    </cfRule>
  </conditionalFormatting>
  <conditionalFormatting sqref="L137:L138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{C8AEDC4C-ABB4-4C5E-9065-25C82C65E4AE}</x14:id>
        </ext>
      </extLst>
    </cfRule>
  </conditionalFormatting>
  <conditionalFormatting sqref="X7:X9">
    <cfRule type="cellIs" dxfId="85" priority="480" operator="greaterThan">
      <formula>1</formula>
    </cfRule>
    <cfRule type="cellIs" dxfId="84" priority="479" operator="lessThan">
      <formula>1</formula>
    </cfRule>
  </conditionalFormatting>
  <conditionalFormatting sqref="X11:X13 X15:X17 X19:X21 X23:X25 X27:X29 X31:X33 X36:X38 X41:X43 X45:X47 X49:X51 X53 X55 X57:X58 X60 X62 X64 X66 X68 X70 X72:X74 X76:X78 X80:X82 X84 X86:X88 X90:X92 X94:X96 X98 X100 X102:X104 X106 X108:X110 X112:X114 X116:X118 X120:X122 X124:X126 X128:X130 X132 X134:X135">
    <cfRule type="cellIs" dxfId="83" priority="10" operator="lessThan">
      <formula>1</formula>
    </cfRule>
    <cfRule type="cellIs" dxfId="82" priority="11" operator="greaterThan">
      <formula>1</formula>
    </cfRule>
  </conditionalFormatting>
  <conditionalFormatting sqref="X137:X138">
    <cfRule type="cellIs" dxfId="81" priority="2" operator="greaterThan">
      <formula>1</formula>
    </cfRule>
    <cfRule type="cellIs" dxfId="80" priority="1" operator="lessThan">
      <formula>1</formula>
    </cfRule>
  </conditionalFormatting>
  <conditionalFormatting sqref="AI7:AI9">
    <cfRule type="cellIs" dxfId="79" priority="478" operator="greaterThan">
      <formula>1</formula>
    </cfRule>
    <cfRule type="cellIs" dxfId="78" priority="477" operator="lessThan">
      <formula>1</formula>
    </cfRule>
  </conditionalFormatting>
  <conditionalFormatting sqref="AI11:AI13">
    <cfRule type="cellIs" dxfId="77" priority="470" operator="greaterThan">
      <formula>1</formula>
    </cfRule>
    <cfRule type="cellIs" dxfId="76" priority="469" operator="lessThan">
      <formula>1</formula>
    </cfRule>
  </conditionalFormatting>
  <conditionalFormatting sqref="AI15:AI17">
    <cfRule type="cellIs" dxfId="75" priority="458" operator="greaterThan">
      <formula>1</formula>
    </cfRule>
    <cfRule type="cellIs" dxfId="74" priority="457" operator="lessThan">
      <formula>1</formula>
    </cfRule>
  </conditionalFormatting>
  <conditionalFormatting sqref="AI19:AI21">
    <cfRule type="cellIs" dxfId="73" priority="451" operator="greaterThan">
      <formula>1</formula>
    </cfRule>
    <cfRule type="cellIs" dxfId="72" priority="450" operator="lessThan">
      <formula>1</formula>
    </cfRule>
  </conditionalFormatting>
  <conditionalFormatting sqref="AI23:AI25">
    <cfRule type="cellIs" dxfId="71" priority="377" operator="lessThan">
      <formula>1</formula>
    </cfRule>
    <cfRule type="cellIs" dxfId="70" priority="378" operator="greaterThan">
      <formula>1</formula>
    </cfRule>
  </conditionalFormatting>
  <conditionalFormatting sqref="AI27:AI29">
    <cfRule type="cellIs" dxfId="69" priority="375" operator="lessThan">
      <formula>1</formula>
    </cfRule>
    <cfRule type="cellIs" dxfId="68" priority="376" operator="greaterThan">
      <formula>1</formula>
    </cfRule>
  </conditionalFormatting>
  <conditionalFormatting sqref="AI31:AI33">
    <cfRule type="cellIs" dxfId="67" priority="404" operator="greaterThan">
      <formula>1</formula>
    </cfRule>
    <cfRule type="cellIs" dxfId="66" priority="403" operator="lessThan">
      <formula>1</formula>
    </cfRule>
  </conditionalFormatting>
  <conditionalFormatting sqref="AI36:AI38">
    <cfRule type="cellIs" dxfId="65" priority="371" operator="lessThan">
      <formula>1</formula>
    </cfRule>
    <cfRule type="cellIs" dxfId="64" priority="372" operator="greaterThan">
      <formula>1</formula>
    </cfRule>
  </conditionalFormatting>
  <conditionalFormatting sqref="AI41:AI43">
    <cfRule type="cellIs" dxfId="63" priority="363" operator="greaterThan">
      <formula>1</formula>
    </cfRule>
    <cfRule type="cellIs" dxfId="62" priority="362" operator="lessThan">
      <formula>1</formula>
    </cfRule>
  </conditionalFormatting>
  <conditionalFormatting sqref="AI45:AI47">
    <cfRule type="cellIs" dxfId="61" priority="353" operator="lessThan">
      <formula>1</formula>
    </cfRule>
    <cfRule type="cellIs" dxfId="60" priority="354" operator="greaterThan">
      <formula>1</formula>
    </cfRule>
  </conditionalFormatting>
  <conditionalFormatting sqref="AI49:AI51">
    <cfRule type="cellIs" dxfId="59" priority="344" operator="lessThan">
      <formula>1</formula>
    </cfRule>
    <cfRule type="cellIs" dxfId="58" priority="345" operator="greaterThan">
      <formula>1</formula>
    </cfRule>
  </conditionalFormatting>
  <conditionalFormatting sqref="AI53">
    <cfRule type="cellIs" dxfId="57" priority="318" operator="greaterThan">
      <formula>1</formula>
    </cfRule>
    <cfRule type="cellIs" dxfId="56" priority="317" operator="lessThan">
      <formula>1</formula>
    </cfRule>
  </conditionalFormatting>
  <conditionalFormatting sqref="AI55">
    <cfRule type="cellIs" dxfId="55" priority="299" operator="lessThan">
      <formula>1</formula>
    </cfRule>
    <cfRule type="cellIs" dxfId="54" priority="300" operator="greaterThan">
      <formula>1</formula>
    </cfRule>
  </conditionalFormatting>
  <conditionalFormatting sqref="AI57:AI58">
    <cfRule type="cellIs" dxfId="53" priority="291" operator="greaterThan">
      <formula>1</formula>
    </cfRule>
    <cfRule type="cellIs" dxfId="52" priority="290" operator="lessThan">
      <formula>1</formula>
    </cfRule>
  </conditionalFormatting>
  <conditionalFormatting sqref="AI60">
    <cfRule type="cellIs" dxfId="51" priority="279" operator="greaterThan">
      <formula>1</formula>
    </cfRule>
    <cfRule type="cellIs" dxfId="50" priority="278" operator="lessThan">
      <formula>1</formula>
    </cfRule>
  </conditionalFormatting>
  <conditionalFormatting sqref="AI62">
    <cfRule type="cellIs" dxfId="49" priority="269" operator="lessThan">
      <formula>1</formula>
    </cfRule>
    <cfRule type="cellIs" dxfId="48" priority="270" operator="greaterThan">
      <formula>1</formula>
    </cfRule>
  </conditionalFormatting>
  <conditionalFormatting sqref="AI64">
    <cfRule type="cellIs" dxfId="47" priority="260" operator="lessThan">
      <formula>1</formula>
    </cfRule>
    <cfRule type="cellIs" dxfId="46" priority="261" operator="greaterThan">
      <formula>1</formula>
    </cfRule>
  </conditionalFormatting>
  <conditionalFormatting sqref="AI66">
    <cfRule type="cellIs" dxfId="45" priority="251" operator="lessThan">
      <formula>1</formula>
    </cfRule>
    <cfRule type="cellIs" dxfId="44" priority="252" operator="greaterThan">
      <formula>1</formula>
    </cfRule>
  </conditionalFormatting>
  <conditionalFormatting sqref="AI68">
    <cfRule type="cellIs" dxfId="43" priority="242" operator="lessThan">
      <formula>1</formula>
    </cfRule>
    <cfRule type="cellIs" dxfId="42" priority="243" operator="greaterThan">
      <formula>1</formula>
    </cfRule>
  </conditionalFormatting>
  <conditionalFormatting sqref="AI70">
    <cfRule type="cellIs" dxfId="41" priority="233" operator="lessThan">
      <formula>1</formula>
    </cfRule>
    <cfRule type="cellIs" dxfId="40" priority="234" operator="greaterThan">
      <formula>1</formula>
    </cfRule>
  </conditionalFormatting>
  <conditionalFormatting sqref="AI72:AI74">
    <cfRule type="cellIs" dxfId="39" priority="225" operator="greaterThan">
      <formula>1</formula>
    </cfRule>
    <cfRule type="cellIs" dxfId="38" priority="224" operator="lessThan">
      <formula>1</formula>
    </cfRule>
  </conditionalFormatting>
  <conditionalFormatting sqref="AI76:AI78">
    <cfRule type="cellIs" dxfId="37" priority="216" operator="greaterThan">
      <formula>1</formula>
    </cfRule>
    <cfRule type="cellIs" dxfId="36" priority="215" operator="lessThan">
      <formula>1</formula>
    </cfRule>
  </conditionalFormatting>
  <conditionalFormatting sqref="AI80:AI82">
    <cfRule type="cellIs" dxfId="35" priority="194" operator="lessThan">
      <formula>1</formula>
    </cfRule>
    <cfRule type="cellIs" dxfId="34" priority="195" operator="greaterThan">
      <formula>1</formula>
    </cfRule>
  </conditionalFormatting>
  <conditionalFormatting sqref="AI84">
    <cfRule type="cellIs" dxfId="33" priority="185" operator="lessThan">
      <formula>1</formula>
    </cfRule>
    <cfRule type="cellIs" dxfId="32" priority="186" operator="greaterThan">
      <formula>1</formula>
    </cfRule>
  </conditionalFormatting>
  <conditionalFormatting sqref="AI86:AI88">
    <cfRule type="cellIs" dxfId="31" priority="177" operator="greaterThan">
      <formula>1</formula>
    </cfRule>
    <cfRule type="cellIs" dxfId="30" priority="176" operator="lessThan">
      <formula>1</formula>
    </cfRule>
  </conditionalFormatting>
  <conditionalFormatting sqref="AI90:AI92">
    <cfRule type="cellIs" dxfId="29" priority="147" operator="greaterThan">
      <formula>1</formula>
    </cfRule>
    <cfRule type="cellIs" dxfId="28" priority="146" operator="lessThan">
      <formula>1</formula>
    </cfRule>
  </conditionalFormatting>
  <conditionalFormatting sqref="AI94:AI96">
    <cfRule type="cellIs" dxfId="27" priority="137" operator="lessThan">
      <formula>1</formula>
    </cfRule>
    <cfRule type="cellIs" dxfId="26" priority="138" operator="greaterThan">
      <formula>1</formula>
    </cfRule>
  </conditionalFormatting>
  <conditionalFormatting sqref="AI98">
    <cfRule type="cellIs" dxfId="25" priority="128" operator="lessThan">
      <formula>1</formula>
    </cfRule>
    <cfRule type="cellIs" dxfId="24" priority="129" operator="greaterThan">
      <formula>1</formula>
    </cfRule>
  </conditionalFormatting>
  <conditionalFormatting sqref="AI100">
    <cfRule type="cellIs" dxfId="23" priority="120" operator="greaterThan">
      <formula>1</formula>
    </cfRule>
    <cfRule type="cellIs" dxfId="22" priority="119" operator="lessThan">
      <formula>1</formula>
    </cfRule>
  </conditionalFormatting>
  <conditionalFormatting sqref="AI102:AI104">
    <cfRule type="cellIs" dxfId="21" priority="111" operator="greaterThan">
      <formula>1</formula>
    </cfRule>
    <cfRule type="cellIs" dxfId="20" priority="110" operator="lessThan">
      <formula>1</formula>
    </cfRule>
  </conditionalFormatting>
  <conditionalFormatting sqref="AI106">
    <cfRule type="cellIs" dxfId="19" priority="98" operator="lessThan">
      <formula>1</formula>
    </cfRule>
    <cfRule type="cellIs" dxfId="18" priority="99" operator="greaterThan">
      <formula>1</formula>
    </cfRule>
  </conditionalFormatting>
  <conditionalFormatting sqref="AI108:AI110">
    <cfRule type="cellIs" dxfId="17" priority="89" operator="lessThan">
      <formula>1</formula>
    </cfRule>
    <cfRule type="cellIs" dxfId="16" priority="90" operator="greaterThan">
      <formula>1</formula>
    </cfRule>
  </conditionalFormatting>
  <conditionalFormatting sqref="AI112:AI114">
    <cfRule type="cellIs" dxfId="15" priority="75" operator="greaterThan">
      <formula>1</formula>
    </cfRule>
    <cfRule type="cellIs" dxfId="14" priority="74" operator="lessThan">
      <formula>1</formula>
    </cfRule>
  </conditionalFormatting>
  <conditionalFormatting sqref="AI116:AI118">
    <cfRule type="cellIs" dxfId="13" priority="65" operator="lessThan">
      <formula>1</formula>
    </cfRule>
    <cfRule type="cellIs" dxfId="12" priority="66" operator="greaterThan">
      <formula>1</formula>
    </cfRule>
  </conditionalFormatting>
  <conditionalFormatting sqref="AI120:AI122">
    <cfRule type="cellIs" dxfId="11" priority="56" operator="lessThan">
      <formula>1</formula>
    </cfRule>
    <cfRule type="cellIs" dxfId="10" priority="57" operator="greaterThan">
      <formula>1</formula>
    </cfRule>
  </conditionalFormatting>
  <conditionalFormatting sqref="AI124:AI126">
    <cfRule type="cellIs" dxfId="9" priority="48" operator="greaterThan">
      <formula>1</formula>
    </cfRule>
    <cfRule type="cellIs" dxfId="8" priority="47" operator="lessThan">
      <formula>1</formula>
    </cfRule>
  </conditionalFormatting>
  <conditionalFormatting sqref="AI128:AI130">
    <cfRule type="cellIs" dxfId="7" priority="39" operator="greaterThan">
      <formula>1</formula>
    </cfRule>
    <cfRule type="cellIs" dxfId="6" priority="38" operator="lessThan">
      <formula>1</formula>
    </cfRule>
  </conditionalFormatting>
  <conditionalFormatting sqref="AI132">
    <cfRule type="cellIs" dxfId="5" priority="30" operator="greaterThan">
      <formula>1</formula>
    </cfRule>
    <cfRule type="cellIs" dxfId="4" priority="29" operator="lessThan">
      <formula>1</formula>
    </cfRule>
  </conditionalFormatting>
  <conditionalFormatting sqref="AI134:AI135">
    <cfRule type="cellIs" dxfId="3" priority="21" operator="greaterThan">
      <formula>1</formula>
    </cfRule>
    <cfRule type="cellIs" dxfId="2" priority="20" operator="lessThan">
      <formula>1</formula>
    </cfRule>
  </conditionalFormatting>
  <conditionalFormatting sqref="AI137:AI138">
    <cfRule type="cellIs" dxfId="1" priority="8" operator="lessThan">
      <formula>1</formula>
    </cfRule>
    <cfRule type="cellIs" dxfId="0" priority="9" operator="greaterThan">
      <formula>1</formula>
    </cfRule>
  </conditionalFormatting>
  <dataValidations count="2">
    <dataValidation type="list" allowBlank="1" showInputMessage="1" showErrorMessage="1" sqref="C60 C11:C13 C15:C17 C19:C21 C23:C25 C27:C29 C31:C33 C36:C38 C41:C43 C45:C47 C49:C51 C53 C55 C57:C58 C7:C9 C62 C64 C66 C68 C70 C72:C74 C84 C80:C82 C86:C88 C76:C78 C90:C92 C94:C96 C98 C100 C102:C104 C106 C108:C110 C112:C114 C116:C118 C120:C122 C124:C126 C128:C130 C132 C134:C135 C137:C138" xr:uid="{F2BF9176-FFDB-4479-8AAC-C3C536A6E2CC}">
      <formula1>INDIRECT(B7&amp;"[[#All];[Profile]]")</formula1>
    </dataValidation>
    <dataValidation type="list" allowBlank="1" showInputMessage="1" showErrorMessage="1" sqref="B7:B9 B11:B13 B15:B17 B19:B21 B23:B25 B27:B29 B31:B33 B36:B38 B41:B43 B45:B47 B49:B51 B53 B55 B57:B58 B60 B62 B64 B66 B68 B70 B72:B74 B84 B80:B82 B86:B88 B76:B78 B90:B92 B94:B96 B98 B100 B102:B104 B106 B108:B110 B112:B114 B116:B118 B120:B122 B124:B126 B128:B130 B132 B134:B135 B137:B138" xr:uid="{9081FC74-0EEB-43F1-9DB6-9FE75756C63C}">
      <formula1>Profiles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D7641D-C64F-4A77-BBCC-125718AD0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11177C97-66A5-4CD6-AB91-C0BA81855A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L7:L9</xm:sqref>
        </x14:conditionalFormatting>
        <x14:conditionalFormatting xmlns:xm="http://schemas.microsoft.com/office/excel/2006/main">
          <x14:cfRule type="dataBar" id="{BE136F72-C56A-4878-B47E-CEE0AC2AF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L11:L13</xm:sqref>
        </x14:conditionalFormatting>
        <x14:conditionalFormatting xmlns:xm="http://schemas.microsoft.com/office/excel/2006/main">
          <x14:cfRule type="dataBar" id="{FCF4B604-355D-4D94-B50F-7899CB0DC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7432CE42-0845-445A-B799-B0A8F6046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L19:L21</xm:sqref>
        </x14:conditionalFormatting>
        <x14:conditionalFormatting xmlns:xm="http://schemas.microsoft.com/office/excel/2006/main">
          <x14:cfRule type="dataBar" id="{3C18CDB6-8356-4EC0-AA2C-464F00A30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L23:L25</xm:sqref>
        </x14:conditionalFormatting>
        <x14:conditionalFormatting xmlns:xm="http://schemas.microsoft.com/office/excel/2006/main">
          <x14:cfRule type="dataBar" id="{86E495B9-6732-4536-AEDE-06BDF268F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L27:L29</xm:sqref>
        </x14:conditionalFormatting>
        <x14:conditionalFormatting xmlns:xm="http://schemas.microsoft.com/office/excel/2006/main">
          <x14:cfRule type="dataBar" id="{6B64C337-8C69-43D0-819B-C08573052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L31:L33</xm:sqref>
        </x14:conditionalFormatting>
        <x14:conditionalFormatting xmlns:xm="http://schemas.microsoft.com/office/excel/2006/main">
          <x14:cfRule type="dataBar" id="{A44B706B-6156-4276-BF29-650F1A875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L36:L38</xm:sqref>
        </x14:conditionalFormatting>
        <x14:conditionalFormatting xmlns:xm="http://schemas.microsoft.com/office/excel/2006/main">
          <x14:cfRule type="dataBar" id="{DC94D075-698D-409F-B7F9-8FD6F63DB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L41:L43</xm:sqref>
        </x14:conditionalFormatting>
        <x14:conditionalFormatting xmlns:xm="http://schemas.microsoft.com/office/excel/2006/main">
          <x14:cfRule type="dataBar" id="{ECB863B2-1C18-41B4-8BBD-B1359D228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L45:L47</xm:sqref>
        </x14:conditionalFormatting>
        <x14:conditionalFormatting xmlns:xm="http://schemas.microsoft.com/office/excel/2006/main">
          <x14:cfRule type="dataBar" id="{CA7D879D-FDCA-4D66-A4FC-557425E23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L49:L51</xm:sqref>
        </x14:conditionalFormatting>
        <x14:conditionalFormatting xmlns:xm="http://schemas.microsoft.com/office/excel/2006/main">
          <x14:cfRule type="dataBar" id="{658B0362-005B-44D3-97FD-D9B0F3A4F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</xm:sqref>
        </x14:conditionalFormatting>
        <x14:conditionalFormatting xmlns:xm="http://schemas.microsoft.com/office/excel/2006/main">
          <x14:cfRule type="dataBar" id="{8DDAFF46-D476-4C76-871B-3F9388710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</xm:sqref>
        </x14:conditionalFormatting>
        <x14:conditionalFormatting xmlns:xm="http://schemas.microsoft.com/office/excel/2006/main">
          <x14:cfRule type="dataBar" id="{10E538E0-BC1D-4E14-A92A-40F41C8A4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2B2F9DEA-36CF-49D7-BEEF-7B068287E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</xm:sqref>
        </x14:conditionalFormatting>
        <x14:conditionalFormatting xmlns:xm="http://schemas.microsoft.com/office/excel/2006/main">
          <x14:cfRule type="dataBar" id="{D342D738-B8DA-4B7A-87E1-C37609AE2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</xm:sqref>
        </x14:conditionalFormatting>
        <x14:conditionalFormatting xmlns:xm="http://schemas.microsoft.com/office/excel/2006/main">
          <x14:cfRule type="dataBar" id="{7C7A7B5C-AC0B-4677-914A-17BED0439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</xm:sqref>
        </x14:conditionalFormatting>
        <x14:conditionalFormatting xmlns:xm="http://schemas.microsoft.com/office/excel/2006/main">
          <x14:cfRule type="dataBar" id="{0317F0A1-4FD6-43F2-A80E-D2261B04C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</xm:sqref>
        </x14:conditionalFormatting>
        <x14:conditionalFormatting xmlns:xm="http://schemas.microsoft.com/office/excel/2006/main">
          <x14:cfRule type="dataBar" id="{25E3EB55-DCD1-43A1-A80E-133D5518B7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L68</xm:sqref>
        </x14:conditionalFormatting>
        <x14:conditionalFormatting xmlns:xm="http://schemas.microsoft.com/office/excel/2006/main">
          <x14:cfRule type="dataBar" id="{6C6165BA-02B8-488D-B8EC-64055EAC5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L70</xm:sqref>
        </x14:conditionalFormatting>
        <x14:conditionalFormatting xmlns:xm="http://schemas.microsoft.com/office/excel/2006/main">
          <x14:cfRule type="dataBar" id="{DE166970-EE37-40B6-8E9D-54B5C5248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L72:L74</xm:sqref>
        </x14:conditionalFormatting>
        <x14:conditionalFormatting xmlns:xm="http://schemas.microsoft.com/office/excel/2006/main">
          <x14:cfRule type="dataBar" id="{AE5718DD-D20F-45F6-ACAD-E4A6CDD90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L76:L78</xm:sqref>
        </x14:conditionalFormatting>
        <x14:conditionalFormatting xmlns:xm="http://schemas.microsoft.com/office/excel/2006/main">
          <x14:cfRule type="dataBar" id="{8EBAFDB9-F06C-450A-8459-FEB7945B9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L80:L82</xm:sqref>
        </x14:conditionalFormatting>
        <x14:conditionalFormatting xmlns:xm="http://schemas.microsoft.com/office/excel/2006/main">
          <x14:cfRule type="dataBar" id="{80F009FB-6C18-44AC-B9DB-A72518BFA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L84</xm:sqref>
        </x14:conditionalFormatting>
        <x14:conditionalFormatting xmlns:xm="http://schemas.microsoft.com/office/excel/2006/main">
          <x14:cfRule type="dataBar" id="{F1512065-1587-4D7F-85CE-EE4D64BC8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L86:L88</xm:sqref>
        </x14:conditionalFormatting>
        <x14:conditionalFormatting xmlns:xm="http://schemas.microsoft.com/office/excel/2006/main">
          <x14:cfRule type="dataBar" id="{64392DCF-18A0-4C25-A09F-65C21BAD0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L90:L92</xm:sqref>
        </x14:conditionalFormatting>
        <x14:conditionalFormatting xmlns:xm="http://schemas.microsoft.com/office/excel/2006/main">
          <x14:cfRule type="dataBar" id="{50562EAE-09B5-4F2B-967B-1F0D40602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L94:L96</xm:sqref>
        </x14:conditionalFormatting>
        <x14:conditionalFormatting xmlns:xm="http://schemas.microsoft.com/office/excel/2006/main">
          <x14:cfRule type="dataBar" id="{C628DF30-66D1-4D76-BCA8-36E161C2B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L98</xm:sqref>
        </x14:conditionalFormatting>
        <x14:conditionalFormatting xmlns:xm="http://schemas.microsoft.com/office/excel/2006/main">
          <x14:cfRule type="dataBar" id="{59321B93-AB93-4C0F-8DE8-BDCD3CF8D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L100</xm:sqref>
        </x14:conditionalFormatting>
        <x14:conditionalFormatting xmlns:xm="http://schemas.microsoft.com/office/excel/2006/main">
          <x14:cfRule type="dataBar" id="{99EF987A-D5FC-47EB-93D4-1E695E678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L102:L104</xm:sqref>
        </x14:conditionalFormatting>
        <x14:conditionalFormatting xmlns:xm="http://schemas.microsoft.com/office/excel/2006/main">
          <x14:cfRule type="dataBar" id="{D4ABCE4C-C152-41F3-BCFD-70D65DFAD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L106</xm:sqref>
        </x14:conditionalFormatting>
        <x14:conditionalFormatting xmlns:xm="http://schemas.microsoft.com/office/excel/2006/main">
          <x14:cfRule type="dataBar" id="{3EB4E85A-30C3-45E1-B1C0-2C98D3898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L108:L110</xm:sqref>
        </x14:conditionalFormatting>
        <x14:conditionalFormatting xmlns:xm="http://schemas.microsoft.com/office/excel/2006/main">
          <x14:cfRule type="dataBar" id="{90D5CF95-ADEB-41FF-AA29-269A01A5F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L112:L114</xm:sqref>
        </x14:conditionalFormatting>
        <x14:conditionalFormatting xmlns:xm="http://schemas.microsoft.com/office/excel/2006/main">
          <x14:cfRule type="dataBar" id="{29E893EF-3B9E-4C5A-BC55-B29919256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L116:L118</xm:sqref>
        </x14:conditionalFormatting>
        <x14:conditionalFormatting xmlns:xm="http://schemas.microsoft.com/office/excel/2006/main">
          <x14:cfRule type="dataBar" id="{95E88D83-9399-4EAD-9758-153B4DEB2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L120:L122</xm:sqref>
        </x14:conditionalFormatting>
        <x14:conditionalFormatting xmlns:xm="http://schemas.microsoft.com/office/excel/2006/main">
          <x14:cfRule type="dataBar" id="{28351013-DEF9-49BA-92D0-F298C7868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L124:L126</xm:sqref>
        </x14:conditionalFormatting>
        <x14:conditionalFormatting xmlns:xm="http://schemas.microsoft.com/office/excel/2006/main">
          <x14:cfRule type="dataBar" id="{12125D5A-57AA-41DC-BCA0-9146034B8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L128:L130</xm:sqref>
        </x14:conditionalFormatting>
        <x14:conditionalFormatting xmlns:xm="http://schemas.microsoft.com/office/excel/2006/main">
          <x14:cfRule type="dataBar" id="{55D0F9EA-CBEC-4FF1-A7A7-4D2EAF707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L132</xm:sqref>
        </x14:conditionalFormatting>
        <x14:conditionalFormatting xmlns:xm="http://schemas.microsoft.com/office/excel/2006/main">
          <x14:cfRule type="dataBar" id="{868F7801-B17C-4929-8171-8CD3D2BDD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L134:L135</xm:sqref>
        </x14:conditionalFormatting>
        <x14:conditionalFormatting xmlns:xm="http://schemas.microsoft.com/office/excel/2006/main">
          <x14:cfRule type="dataBar" id="{C8AEDC4C-ABB4-4C5E-9065-25C82C65E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L137:L138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068A28D38F704C8753E5ED2FC3E11C" ma:contentTypeVersion="8" ma:contentTypeDescription="Opprett et nytt dokument." ma:contentTypeScope="" ma:versionID="85cd47a31ddb85e1911595e7fc24b3b5">
  <xsd:schema xmlns:xsd="http://www.w3.org/2001/XMLSchema" xmlns:xs="http://www.w3.org/2001/XMLSchema" xmlns:p="http://schemas.microsoft.com/office/2006/metadata/properties" xmlns:ns3="67f66f4a-42ee-4172-8fff-b8950357c9aa" xmlns:ns4="42255dc5-a72a-463c-83ff-810da3cd5a96" targetNamespace="http://schemas.microsoft.com/office/2006/metadata/properties" ma:root="true" ma:fieldsID="ea1791da90130ae359767b9bf5787ed9" ns3:_="" ns4:_="">
    <xsd:import namespace="67f66f4a-42ee-4172-8fff-b8950357c9aa"/>
    <xsd:import namespace="42255dc5-a72a-463c-83ff-810da3cd5a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66f4a-42ee-4172-8fff-b8950357c9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55dc5-a72a-463c-83ff-810da3cd5a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E268A2-0EDA-4805-B66F-18DFFDE704F5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67f66f4a-42ee-4172-8fff-b8950357c9aa"/>
    <ds:schemaRef ds:uri="42255dc5-a72a-463c-83ff-810da3cd5a96"/>
  </ds:schemaRefs>
</ds:datastoreItem>
</file>

<file path=customXml/itemProps2.xml><?xml version="1.0" encoding="utf-8"?>
<ds:datastoreItem xmlns:ds="http://schemas.openxmlformats.org/officeDocument/2006/customXml" ds:itemID="{889C4F93-CE91-4890-A9CD-5FE85C1633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f66f4a-42ee-4172-8fff-b8950357c9aa"/>
    <ds:schemaRef ds:uri="42255dc5-a72a-463c-83ff-810da3cd5a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DCF663-948D-408C-85FE-2E3BAD16D5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generiske_bjelker_iht_linsgroup</vt:lpstr>
      <vt:lpstr>IPE HEA HEB relativ design</vt:lpstr>
      <vt:lpstr>fritt opplagt bjelke</vt:lpstr>
      <vt:lpstr>IPE</vt:lpstr>
      <vt:lpstr>HEA</vt:lpstr>
      <vt:lpstr>HEB</vt:lpstr>
      <vt:lpstr>Profiltyper</vt:lpstr>
      <vt:lpstr>Bjelkemodeller (WIP)</vt:lpstr>
      <vt:lpstr>fritt opplagte bjelker</vt:lpstr>
      <vt:lpstr>Profiles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Fjeld Olsen</dc:creator>
  <cp:lastModifiedBy>Magnus Fjeld Olsen</cp:lastModifiedBy>
  <dcterms:created xsi:type="dcterms:W3CDTF">2022-05-20T09:45:57Z</dcterms:created>
  <dcterms:modified xsi:type="dcterms:W3CDTF">2025-08-27T09:27:29Z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0x010100E6068A28D38F704C8753E5ED2FC3E11C</vt:lpwstr>
  </property>
</Properties>
</file>